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3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4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5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6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7.xml" ContentType="application/vnd.openxmlformats-officedocument.themeOverrid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8.xml" ContentType="application/vnd.openxmlformats-officedocument.themeOverrid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9.xml" ContentType="application/vnd.openxmlformats-officedocument.themeOverrid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0.xml" ContentType="application/vnd.openxmlformats-officedocument.themeOverrid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1.xml" ContentType="application/vnd.openxmlformats-officedocument.themeOverrid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2.xml" ContentType="application/vnd.openxmlformats-officedocument.themeOverrid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3.xml" ContentType="application/vnd.openxmlformats-officedocument.themeOverrid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4.xml" ContentType="application/vnd.openxmlformats-officedocument.themeOverride+xml"/>
  <Override PartName="/xl/drawings/drawing2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3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Laboratorio de metrologia legal\Ajustes formatos audi 2018\"/>
    </mc:Choice>
  </mc:AlternateContent>
  <workbookProtection workbookAlgorithmName="SHA-512" workbookHashValue="F0u2CWJJWGo2FSqEvZK70YmN2tH9Wv8aTpqRSAb96DWEbk0E0BAgcx3SF5COOi+4GzBfQjBs9pFKE1YKa8dRog==" workbookSaltValue="6fA4RUvbdarliN2N9PdUrg==" workbookSpinCount="100000" lockStructure="1"/>
  <bookViews>
    <workbookView xWindow="0" yWindow="0" windowWidth="20490" windowHeight="8955" tabRatio="589" firstSheet="1" activeTab="1"/>
  </bookViews>
  <sheets>
    <sheet name="DATOS" sheetId="15" state="hidden" r:id="rId1"/>
    <sheet name="RT03-F34" sheetId="8" r:id="rId2"/>
    <sheet name="RT03-F36" sheetId="14" state="hidden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1_">'[1]APROXIMACION LINEL'!$C$21</definedName>
    <definedName name="_xlnm.Print_Area" localSheetId="0">DATOS!$B$1:$U$160</definedName>
    <definedName name="_xlnm.Print_Area" localSheetId="1">'RT03-F34'!$A$1:$M$169</definedName>
    <definedName name="DELTAMAXI">'[2]PRUEBAS DE CALIBRACION'!$G$18</definedName>
    <definedName name="DIVISIÓNDEESCALA">[2]DATOS!$E$13</definedName>
    <definedName name="factordecobertura">'[3]COMPONENTES DE INCERTI'!$G$32:$K$32</definedName>
    <definedName name="LEXCENTRICIDAD">'[2]PRUEBAS DE CALIBRACION'!$H$11</definedName>
    <definedName name="Print_Area" localSheetId="0">DATOS!$B$1:$T$164</definedName>
    <definedName name="Print_Area" localSheetId="1">'RT03-F34'!$A$1:$L$142</definedName>
    <definedName name="Print_Area" localSheetId="2">'RT03-F36'!$A$1:$F$197</definedName>
    <definedName name="Print_Titles" localSheetId="1">'RT03-F34'!$1:$3</definedName>
    <definedName name="Print_Titles" localSheetId="2">'RT03-F36'!$1:$4</definedName>
    <definedName name="_xlnm.Print_Titles" localSheetId="1">'RT03-F34'!$1:$3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8" i="14" l="1"/>
  <c r="B151" i="14"/>
  <c r="O34" i="15" l="1"/>
  <c r="O35" i="15"/>
  <c r="K63" i="8"/>
  <c r="J29" i="8"/>
  <c r="H29" i="8"/>
  <c r="E29" i="8"/>
  <c r="J28" i="8"/>
  <c r="G28" i="8"/>
  <c r="E28" i="8"/>
  <c r="C28" i="8"/>
  <c r="P34" i="15"/>
  <c r="P35" i="15"/>
  <c r="O36" i="15"/>
  <c r="S141" i="15"/>
  <c r="R141" i="15"/>
  <c r="Q141" i="15"/>
  <c r="S131" i="15"/>
  <c r="R131" i="15"/>
  <c r="Q131" i="15"/>
  <c r="S121" i="15"/>
  <c r="R121" i="15"/>
  <c r="Q121" i="15"/>
  <c r="S99" i="15"/>
  <c r="R99" i="15"/>
  <c r="Q99" i="15"/>
  <c r="S110" i="15"/>
  <c r="R110" i="15"/>
  <c r="Q110" i="15"/>
  <c r="I63" i="8"/>
  <c r="I64" i="8" s="1"/>
  <c r="C56" i="14" s="1"/>
  <c r="G63" i="8"/>
  <c r="G64" i="8" s="1"/>
  <c r="B56" i="14" s="1"/>
  <c r="E63" i="8"/>
  <c r="E64" i="8" s="1"/>
  <c r="A56" i="14" s="1"/>
  <c r="D49" i="8" l="1"/>
  <c r="E49" i="8" s="1"/>
  <c r="F158" i="8" s="1"/>
  <c r="F159" i="8" s="1"/>
  <c r="F160" i="8"/>
  <c r="D50" i="8"/>
  <c r="E50" i="8" s="1"/>
  <c r="G158" i="8" s="1"/>
  <c r="G159" i="8" s="1"/>
  <c r="G160" i="8"/>
  <c r="D48" i="8"/>
  <c r="E48" i="8" s="1"/>
  <c r="E160" i="8"/>
  <c r="A46" i="8"/>
  <c r="G156" i="8" s="1"/>
  <c r="A45" i="8"/>
  <c r="F156" i="8" s="1"/>
  <c r="A44" i="8"/>
  <c r="E151" i="8" s="1"/>
  <c r="F6" i="8"/>
  <c r="G154" i="8" s="1"/>
  <c r="I6" i="8"/>
  <c r="F154" i="8" s="1"/>
  <c r="F166" i="8"/>
  <c r="E166" i="8"/>
  <c r="F165" i="8"/>
  <c r="E165" i="8"/>
  <c r="F164" i="8"/>
  <c r="E164" i="8"/>
  <c r="Q72" i="15"/>
  <c r="Q71" i="15"/>
  <c r="Q56" i="15"/>
  <c r="Q57" i="15"/>
  <c r="Q58" i="15"/>
  <c r="Q59" i="15"/>
  <c r="Q60" i="15"/>
  <c r="Q61" i="15"/>
  <c r="Q62" i="15"/>
  <c r="Q63" i="15"/>
  <c r="Q64" i="15"/>
  <c r="Q65" i="15"/>
  <c r="Q66" i="15"/>
  <c r="Q67" i="15"/>
  <c r="Q68" i="15"/>
  <c r="Q69" i="15"/>
  <c r="Q70" i="15"/>
  <c r="Q39" i="15"/>
  <c r="Q40" i="15"/>
  <c r="Q41" i="15"/>
  <c r="Q42" i="15"/>
  <c r="Q43" i="15"/>
  <c r="Q44" i="15"/>
  <c r="Q45" i="15"/>
  <c r="Q46" i="15"/>
  <c r="Q47" i="15"/>
  <c r="Q48" i="15"/>
  <c r="Q49" i="15"/>
  <c r="Q50" i="15"/>
  <c r="Q51" i="15"/>
  <c r="Q52" i="15"/>
  <c r="Q53" i="15"/>
  <c r="Q54" i="15"/>
  <c r="O28" i="15"/>
  <c r="I15" i="8"/>
  <c r="I14" i="8"/>
  <c r="C63" i="14" s="1"/>
  <c r="I13" i="8"/>
  <c r="C62" i="14" s="1"/>
  <c r="I12" i="8"/>
  <c r="C61" i="14" s="1"/>
  <c r="I11" i="8"/>
  <c r="I10" i="8"/>
  <c r="E34" i="8"/>
  <c r="G34" i="8" s="1"/>
  <c r="H24" i="8"/>
  <c r="B58" i="8" s="1"/>
  <c r="O39" i="15"/>
  <c r="O40" i="15"/>
  <c r="O41" i="15"/>
  <c r="O42" i="15"/>
  <c r="O43" i="15"/>
  <c r="O44" i="15"/>
  <c r="O45" i="15"/>
  <c r="O46" i="15"/>
  <c r="O47" i="15"/>
  <c r="O48" i="15"/>
  <c r="O49" i="15"/>
  <c r="O50" i="15"/>
  <c r="O51" i="15"/>
  <c r="O52" i="15"/>
  <c r="O53" i="15"/>
  <c r="O54" i="15"/>
  <c r="O55" i="15"/>
  <c r="O56" i="15"/>
  <c r="O57" i="15"/>
  <c r="O58" i="15"/>
  <c r="O59" i="15"/>
  <c r="O60" i="15"/>
  <c r="O61" i="15"/>
  <c r="O62" i="15"/>
  <c r="O63" i="15"/>
  <c r="O64" i="15"/>
  <c r="O65" i="15"/>
  <c r="O66" i="15"/>
  <c r="O67" i="15"/>
  <c r="O68" i="15"/>
  <c r="O69" i="15"/>
  <c r="O70" i="15"/>
  <c r="O71" i="15"/>
  <c r="O72" i="15"/>
  <c r="O73" i="15"/>
  <c r="O74" i="15"/>
  <c r="O75" i="15"/>
  <c r="O76" i="15"/>
  <c r="O77" i="15"/>
  <c r="O78" i="15"/>
  <c r="O79" i="15"/>
  <c r="O80" i="15"/>
  <c r="O81" i="15"/>
  <c r="O82" i="15"/>
  <c r="O83" i="15"/>
  <c r="O84" i="15"/>
  <c r="O85" i="15"/>
  <c r="O86" i="15"/>
  <c r="O87" i="15"/>
  <c r="O88" i="15"/>
  <c r="O38" i="15"/>
  <c r="O29" i="15"/>
  <c r="O30" i="15"/>
  <c r="O31" i="15"/>
  <c r="O32" i="15"/>
  <c r="G23" i="8"/>
  <c r="H69" i="8" s="1"/>
  <c r="A194" i="14"/>
  <c r="A193" i="14"/>
  <c r="D194" i="14"/>
  <c r="D193" i="14"/>
  <c r="E26" i="8"/>
  <c r="D26" i="8"/>
  <c r="C26" i="8"/>
  <c r="B26" i="8"/>
  <c r="I24" i="8"/>
  <c r="I77" i="8" s="1"/>
  <c r="I23" i="8"/>
  <c r="H79" i="8" s="1"/>
  <c r="H23" i="8"/>
  <c r="B57" i="8" s="1"/>
  <c r="D57" i="8" s="1"/>
  <c r="E57" i="8" s="1"/>
  <c r="D183" i="14" s="1"/>
  <c r="I22" i="8"/>
  <c r="G77" i="8" s="1"/>
  <c r="H22" i="8"/>
  <c r="B56" i="8" s="1"/>
  <c r="I21" i="8"/>
  <c r="H21" i="8"/>
  <c r="H25" i="8" s="1"/>
  <c r="J24" i="8"/>
  <c r="J23" i="8"/>
  <c r="J22" i="8"/>
  <c r="J21" i="8"/>
  <c r="G24" i="8"/>
  <c r="I69" i="8" s="1"/>
  <c r="G22" i="8"/>
  <c r="G69" i="8" s="1"/>
  <c r="G21" i="8"/>
  <c r="D15" i="8"/>
  <c r="C23" i="14" s="1"/>
  <c r="D14" i="8"/>
  <c r="C22" i="14" s="1"/>
  <c r="D13" i="8"/>
  <c r="C21" i="14" s="1"/>
  <c r="D12" i="8"/>
  <c r="C20" i="14" s="1"/>
  <c r="D11" i="8"/>
  <c r="C14" i="14" s="1"/>
  <c r="D10" i="8"/>
  <c r="C13" i="14" s="1"/>
  <c r="D9" i="8"/>
  <c r="C12" i="14" s="1"/>
  <c r="H6" i="8"/>
  <c r="C8" i="14" s="1"/>
  <c r="G6" i="8"/>
  <c r="C7" i="14" s="1"/>
  <c r="E6" i="8"/>
  <c r="D6" i="8"/>
  <c r="C25" i="14" s="1"/>
  <c r="C6" i="8"/>
  <c r="C16" i="14" s="1"/>
  <c r="B6" i="8"/>
  <c r="C9" i="14" s="1"/>
  <c r="R74" i="15"/>
  <c r="R75" i="15" s="1"/>
  <c r="R76" i="15" s="1"/>
  <c r="R77" i="15" s="1"/>
  <c r="R78" i="15" s="1"/>
  <c r="R79" i="15" s="1"/>
  <c r="R80" i="15" s="1"/>
  <c r="R81" i="15" s="1"/>
  <c r="R82" i="15" s="1"/>
  <c r="R83" i="15" s="1"/>
  <c r="R84" i="15" s="1"/>
  <c r="R85" i="15" s="1"/>
  <c r="R86" i="15" s="1"/>
  <c r="R87" i="15" s="1"/>
  <c r="R88" i="15" s="1"/>
  <c r="R56" i="15"/>
  <c r="R57" i="15" s="1"/>
  <c r="R58" i="15" s="1"/>
  <c r="R59" i="15" s="1"/>
  <c r="R60" i="15" s="1"/>
  <c r="R61" i="15" s="1"/>
  <c r="R62" i="15" s="1"/>
  <c r="R63" i="15" s="1"/>
  <c r="R64" i="15" s="1"/>
  <c r="R65" i="15" s="1"/>
  <c r="R66" i="15" s="1"/>
  <c r="R67" i="15" s="1"/>
  <c r="R68" i="15" s="1"/>
  <c r="R69" i="15" s="1"/>
  <c r="R70" i="15" s="1"/>
  <c r="J56" i="15"/>
  <c r="J57" i="15" s="1"/>
  <c r="J58" i="15" s="1"/>
  <c r="J59" i="15" s="1"/>
  <c r="J60" i="15" s="1"/>
  <c r="J61" i="15" s="1"/>
  <c r="J62" i="15" s="1"/>
  <c r="J63" i="15" s="1"/>
  <c r="J64" i="15" s="1"/>
  <c r="J65" i="15" s="1"/>
  <c r="J66" i="15" s="1"/>
  <c r="J67" i="15" s="1"/>
  <c r="J68" i="15" s="1"/>
  <c r="J69" i="15" s="1"/>
  <c r="J70" i="15" s="1"/>
  <c r="Q55" i="15"/>
  <c r="R39" i="15"/>
  <c r="R40" i="15" s="1"/>
  <c r="R41" i="15" s="1"/>
  <c r="R42" i="15" s="1"/>
  <c r="R43" i="15" s="1"/>
  <c r="R44" i="15" s="1"/>
  <c r="R45" i="15" s="1"/>
  <c r="R46" i="15" s="1"/>
  <c r="R47" i="15" s="1"/>
  <c r="R48" i="15" s="1"/>
  <c r="R49" i="15" s="1"/>
  <c r="R50" i="15" s="1"/>
  <c r="R51" i="15" s="1"/>
  <c r="R52" i="15" s="1"/>
  <c r="R53" i="15" s="1"/>
  <c r="R54" i="15" s="1"/>
  <c r="Q38" i="15"/>
  <c r="B74" i="14"/>
  <c r="C182" i="14"/>
  <c r="C183" i="14"/>
  <c r="C184" i="14"/>
  <c r="C185" i="14"/>
  <c r="C181" i="14"/>
  <c r="D151" i="14"/>
  <c r="B147" i="14"/>
  <c r="A107" i="14"/>
  <c r="A86" i="14"/>
  <c r="B71" i="14"/>
  <c r="A71" i="14"/>
  <c r="C70" i="14"/>
  <c r="A70" i="14"/>
  <c r="B73" i="14"/>
  <c r="H77" i="8"/>
  <c r="H78" i="8"/>
  <c r="C151" i="14"/>
  <c r="L73" i="8"/>
  <c r="G26" i="8"/>
  <c r="G117" i="8" s="1"/>
  <c r="K117" i="8" s="1"/>
  <c r="D97" i="14"/>
  <c r="D96" i="14"/>
  <c r="D95" i="14"/>
  <c r="D94" i="14"/>
  <c r="D93" i="14"/>
  <c r="D92" i="14"/>
  <c r="D91" i="14"/>
  <c r="D90" i="14"/>
  <c r="D89" i="14"/>
  <c r="D88" i="14"/>
  <c r="C97" i="14"/>
  <c r="C96" i="14"/>
  <c r="C95" i="14"/>
  <c r="C94" i="14"/>
  <c r="C93" i="14"/>
  <c r="C92" i="14"/>
  <c r="C91" i="14"/>
  <c r="C90" i="14"/>
  <c r="C89" i="14"/>
  <c r="C88" i="14"/>
  <c r="B97" i="14"/>
  <c r="B96" i="14"/>
  <c r="B95" i="14"/>
  <c r="B94" i="14"/>
  <c r="B93" i="14"/>
  <c r="B92" i="14"/>
  <c r="B91" i="14"/>
  <c r="B90" i="14"/>
  <c r="B89" i="14"/>
  <c r="B88" i="14"/>
  <c r="A97" i="14"/>
  <c r="A96" i="14"/>
  <c r="A95" i="14"/>
  <c r="A94" i="14"/>
  <c r="A93" i="14"/>
  <c r="A92" i="14"/>
  <c r="A91" i="14"/>
  <c r="A90" i="14"/>
  <c r="A89" i="14"/>
  <c r="A88" i="14"/>
  <c r="B76" i="14"/>
  <c r="B75" i="14"/>
  <c r="B72" i="14"/>
  <c r="A76" i="14"/>
  <c r="A75" i="14"/>
  <c r="A74" i="14"/>
  <c r="A73" i="14"/>
  <c r="A72" i="14"/>
  <c r="A77" i="14"/>
  <c r="J87" i="8"/>
  <c r="I87" i="8"/>
  <c r="H87" i="8"/>
  <c r="G87" i="8"/>
  <c r="F87" i="8"/>
  <c r="I59" i="8"/>
  <c r="J59" i="8"/>
  <c r="I58" i="8"/>
  <c r="J58" i="8" s="1"/>
  <c r="I57" i="8"/>
  <c r="J57" i="8" s="1"/>
  <c r="I56" i="8"/>
  <c r="J56" i="8" s="1"/>
  <c r="I55" i="8"/>
  <c r="J55" i="8" s="1"/>
  <c r="C50" i="8"/>
  <c r="C49" i="8"/>
  <c r="C48" i="8"/>
  <c r="G37" i="8"/>
  <c r="F37" i="8"/>
  <c r="C75" i="14" s="1"/>
  <c r="E37" i="8"/>
  <c r="D37" i="8"/>
  <c r="D38" i="8" s="1"/>
  <c r="C37" i="8"/>
  <c r="C38" i="8" s="1"/>
  <c r="E38" i="8"/>
  <c r="C74" i="14"/>
  <c r="G38" i="8"/>
  <c r="C76" i="14"/>
  <c r="F38" i="8"/>
  <c r="B49" i="8"/>
  <c r="B48" i="8"/>
  <c r="G161" i="8" l="1"/>
  <c r="G162" i="8" s="1"/>
  <c r="C86" i="14"/>
  <c r="F161" i="8"/>
  <c r="F162" i="8" s="1"/>
  <c r="B55" i="8"/>
  <c r="A108" i="14" s="1"/>
  <c r="J125" i="8"/>
  <c r="G25" i="8"/>
  <c r="J129" i="8" s="1"/>
  <c r="F78" i="8"/>
  <c r="I25" i="8"/>
  <c r="J77" i="8" s="1"/>
  <c r="F48" i="8"/>
  <c r="G73" i="8" s="1"/>
  <c r="E158" i="8"/>
  <c r="E159" i="8" s="1"/>
  <c r="C39" i="8"/>
  <c r="B77" i="14" s="1"/>
  <c r="C73" i="14"/>
  <c r="C72" i="14"/>
  <c r="D86" i="14"/>
  <c r="B50" i="8"/>
  <c r="B86" i="14"/>
  <c r="F69" i="8"/>
  <c r="F77" i="8"/>
  <c r="F79" i="8"/>
  <c r="F5" i="14"/>
  <c r="F160" i="14" s="1"/>
  <c r="F73" i="8"/>
  <c r="A110" i="14"/>
  <c r="J128" i="8"/>
  <c r="G78" i="8"/>
  <c r="H72" i="8"/>
  <c r="F72" i="8"/>
  <c r="G72" i="8"/>
  <c r="J72" i="8"/>
  <c r="B70" i="14"/>
  <c r="H74" i="8"/>
  <c r="A49" i="14"/>
  <c r="H80" i="8"/>
  <c r="H94" i="8" s="1"/>
  <c r="J126" i="8"/>
  <c r="G74" i="8"/>
  <c r="J74" i="8"/>
  <c r="F74" i="8"/>
  <c r="I74" i="8"/>
  <c r="B182" i="14"/>
  <c r="K56" i="8"/>
  <c r="L56" i="8" s="1"/>
  <c r="B109" i="14" s="1"/>
  <c r="A109" i="14"/>
  <c r="I79" i="8"/>
  <c r="G79" i="8"/>
  <c r="B59" i="8"/>
  <c r="B185" i="14" s="1"/>
  <c r="I78" i="8"/>
  <c r="B184" i="14"/>
  <c r="K58" i="8"/>
  <c r="L58" i="8" s="1"/>
  <c r="B111" i="14" s="1"/>
  <c r="D58" i="8"/>
  <c r="E58" i="8" s="1"/>
  <c r="D184" i="14" s="1"/>
  <c r="A111" i="14"/>
  <c r="K57" i="8"/>
  <c r="L57" i="8" s="1"/>
  <c r="B110" i="14" s="1"/>
  <c r="B183" i="14"/>
  <c r="J127" i="8"/>
  <c r="F16" i="14"/>
  <c r="D56" i="8"/>
  <c r="E56" i="8" s="1"/>
  <c r="D182" i="14" s="1"/>
  <c r="D55" i="8" l="1"/>
  <c r="E55" i="8" s="1"/>
  <c r="D181" i="14" s="1"/>
  <c r="B181" i="14"/>
  <c r="E161" i="8"/>
  <c r="E162" i="8" s="1"/>
  <c r="I72" i="8"/>
  <c r="K55" i="8"/>
  <c r="L55" i="8" s="1"/>
  <c r="J73" i="8"/>
  <c r="F75" i="8"/>
  <c r="F89" i="8" s="1"/>
  <c r="I73" i="8"/>
  <c r="I75" i="8" s="1"/>
  <c r="I89" i="8" s="1"/>
  <c r="H73" i="8"/>
  <c r="H75" i="8" s="1"/>
  <c r="H89" i="8" s="1"/>
  <c r="E117" i="8"/>
  <c r="E118" i="8" s="1"/>
  <c r="F121" i="14"/>
  <c r="F47" i="14"/>
  <c r="F80" i="8"/>
  <c r="F94" i="8" s="1"/>
  <c r="F84" i="14"/>
  <c r="J75" i="8"/>
  <c r="J89" i="8" s="1"/>
  <c r="G80" i="8"/>
  <c r="G94" i="8" s="1"/>
  <c r="J69" i="8"/>
  <c r="G75" i="8"/>
  <c r="G89" i="8" s="1"/>
  <c r="D59" i="8"/>
  <c r="E59" i="8" s="1"/>
  <c r="D185" i="14" s="1"/>
  <c r="K59" i="8"/>
  <c r="L59" i="8" s="1"/>
  <c r="B112" i="14" s="1"/>
  <c r="A112" i="14"/>
  <c r="J79" i="8"/>
  <c r="J78" i="8"/>
  <c r="I80" i="8"/>
  <c r="I94" i="8" s="1"/>
  <c r="F82" i="8" l="1"/>
  <c r="A109" i="8" s="1"/>
  <c r="C109" i="8" s="1"/>
  <c r="H82" i="8"/>
  <c r="A111" i="8" s="1"/>
  <c r="C111" i="8" s="1"/>
  <c r="G82" i="8"/>
  <c r="G96" i="8" s="1"/>
  <c r="G99" i="8" s="1"/>
  <c r="G103" i="8" s="1"/>
  <c r="I82" i="8"/>
  <c r="A112" i="8" s="1"/>
  <c r="J80" i="8"/>
  <c r="C109" i="14" l="1"/>
  <c r="G104" i="8"/>
  <c r="B109" i="8"/>
  <c r="F96" i="8"/>
  <c r="F99" i="8" s="1"/>
  <c r="F103" i="8" s="1"/>
  <c r="B111" i="8"/>
  <c r="H96" i="8"/>
  <c r="H99" i="8" s="1"/>
  <c r="H103" i="8" s="1"/>
  <c r="A110" i="8"/>
  <c r="C110" i="8" s="1"/>
  <c r="I96" i="8"/>
  <c r="I99" i="8" s="1"/>
  <c r="I103" i="8" s="1"/>
  <c r="J94" i="8"/>
  <c r="J82" i="8"/>
  <c r="C112" i="8"/>
  <c r="B112" i="8"/>
  <c r="C111" i="14" l="1"/>
  <c r="I104" i="8"/>
  <c r="C110" i="14"/>
  <c r="H104" i="8"/>
  <c r="C108" i="14"/>
  <c r="F104" i="8"/>
  <c r="B110" i="8"/>
  <c r="A113" i="8"/>
  <c r="J96" i="8"/>
  <c r="J99" i="8" s="1"/>
  <c r="J103" i="8" s="1"/>
  <c r="C112" i="14" l="1"/>
  <c r="J104" i="8"/>
  <c r="G118" i="8"/>
  <c r="E149" i="14" s="1"/>
  <c r="C113" i="8"/>
  <c r="C114" i="8" s="1"/>
  <c r="B118" i="8" s="1"/>
  <c r="G132" i="8" s="1"/>
  <c r="B113" i="8"/>
  <c r="B114" i="8" s="1"/>
  <c r="B116" i="8" l="1"/>
  <c r="B117" i="8" s="1"/>
  <c r="G109" i="8" l="1"/>
  <c r="F135" i="8"/>
  <c r="C147" i="14" s="1"/>
  <c r="G113" i="8"/>
  <c r="D132" i="8"/>
  <c r="G111" i="8"/>
  <c r="G110" i="8"/>
  <c r="G112" i="8"/>
  <c r="G114" i="8" s="1"/>
  <c r="I117" i="8" s="1"/>
  <c r="I118" i="8" s="1"/>
  <c r="D109" i="8"/>
  <c r="E109" i="8" s="1"/>
  <c r="D112" i="8"/>
  <c r="E112" i="8" s="1"/>
  <c r="K128" i="8" s="1"/>
  <c r="D110" i="8"/>
  <c r="E110" i="8" s="1"/>
  <c r="K126" i="8" s="1"/>
  <c r="D113" i="8"/>
  <c r="E113" i="8" s="1"/>
  <c r="K129" i="8" s="1"/>
  <c r="D111" i="8"/>
  <c r="E111" i="8" s="1"/>
  <c r="K127" i="8" s="1"/>
  <c r="D121" i="8" l="1"/>
  <c r="D122" i="8"/>
  <c r="K125" i="8"/>
  <c r="F137" i="8" l="1"/>
  <c r="F138" i="8" s="1"/>
  <c r="H137" i="8"/>
  <c r="H122" i="8"/>
  <c r="E151" i="14" l="1"/>
  <c r="H138" i="8"/>
</calcChain>
</file>

<file path=xl/sharedStrings.xml><?xml version="1.0" encoding="utf-8"?>
<sst xmlns="http://schemas.openxmlformats.org/spreadsheetml/2006/main" count="782" uniqueCount="445">
  <si>
    <t>Clase</t>
  </si>
  <si>
    <t>Serial</t>
  </si>
  <si>
    <t>Certificado N°</t>
  </si>
  <si>
    <t>Fabricante</t>
  </si>
  <si>
    <t>Humedad relativa (%rH)</t>
  </si>
  <si>
    <t>Presión (hPa)</t>
  </si>
  <si>
    <t>Temperatura (°C)</t>
  </si>
  <si>
    <t>Ciudad</t>
  </si>
  <si>
    <t>Solicitante</t>
  </si>
  <si>
    <t>Modelo</t>
  </si>
  <si>
    <t xml:space="preserve"> DATOS DE LOS PATRONES PARA LAS PRUEBAS</t>
  </si>
  <si>
    <t>Cargas para Repetibilidad (g)</t>
  </si>
  <si>
    <t>Incertidumbre (mg)</t>
  </si>
  <si>
    <t>PRUEBA DE EXCENTRICIDAD</t>
  </si>
  <si>
    <t>Posición</t>
  </si>
  <si>
    <t>Diferencia (g)</t>
  </si>
  <si>
    <t>PRUEBA DE REPETIBILIDAD</t>
  </si>
  <si>
    <t>Cargas (g)</t>
  </si>
  <si>
    <t>promedios (g)</t>
  </si>
  <si>
    <t>Indicaciones</t>
  </si>
  <si>
    <t>Excentricidad</t>
  </si>
  <si>
    <t>Repetibilidad</t>
  </si>
  <si>
    <t>PRUEBA DE ERROR DE INDICACIÓN (EXACTITUD)</t>
  </si>
  <si>
    <t>Prueba de error de                  indicación (exactitud)</t>
  </si>
  <si>
    <t>Incertidumbre por pesas patrón</t>
  </si>
  <si>
    <t>incertidumbre                            por empuje</t>
  </si>
  <si>
    <t>Distribución</t>
  </si>
  <si>
    <t>Cargas de prueba (g)</t>
  </si>
  <si>
    <t>GRADOS EFECTIVOS DE LIBERTAD</t>
  </si>
  <si>
    <t>GRADOS EFECTIVOS DE LIBERTAD DEL ERROR</t>
  </si>
  <si>
    <t>FACTOR DE COBERTURA</t>
  </si>
  <si>
    <t>incertidumbre por                              deriva</t>
  </si>
  <si>
    <t>Magnitud</t>
  </si>
  <si>
    <t xml:space="preserve">                       PRESUPUESTO DE INCERTIDUMBRE</t>
  </si>
  <si>
    <t>APROXIMACION POR LINEA RECTA QUE CRUZA POR CERO PARA EL ERROR</t>
  </si>
  <si>
    <t>Error de</t>
  </si>
  <si>
    <t>p</t>
  </si>
  <si>
    <t>pIE</t>
  </si>
  <si>
    <t>Σ</t>
  </si>
  <si>
    <t>≤</t>
  </si>
  <si>
    <t>u(Eappr) a REPORTAR</t>
  </si>
  <si>
    <t>m=</t>
  </si>
  <si>
    <t>b=</t>
  </si>
  <si>
    <t>Beta (β)</t>
  </si>
  <si>
    <t xml:space="preserve">G de libertad </t>
  </si>
  <si>
    <t>Carga max (g)</t>
  </si>
  <si>
    <t>Valor ABS de diferencia</t>
  </si>
  <si>
    <t xml:space="preserve"> (mg)</t>
  </si>
  <si>
    <t>Carga min (g)</t>
  </si>
  <si>
    <t>INCERTIDUMBRE POR INDICACION (mg)</t>
  </si>
  <si>
    <t>n</t>
  </si>
  <si>
    <t>Rectangular</t>
  </si>
  <si>
    <t>Normal</t>
  </si>
  <si>
    <t>k =</t>
  </si>
  <si>
    <t>(g)</t>
  </si>
  <si>
    <t>Carga</t>
  </si>
  <si>
    <t>GRADOS EFECTIVOS DE LIBERTAD POR MASA DE REFERENCIA</t>
  </si>
  <si>
    <t>GRADOS EFECTIVOS DE LIBERTAD POR INDICACION</t>
  </si>
  <si>
    <t xml:space="preserve">Nivel de Confianza                                                                </t>
  </si>
  <si>
    <t>incertidumbre  certificado (mg)</t>
  </si>
  <si>
    <t>CONDICIONES AMBIENTALES INICIALES</t>
  </si>
  <si>
    <t>Hora</t>
  </si>
  <si>
    <t>CONDICIONES AMBIENTALES FINALES</t>
  </si>
  <si>
    <t>INCERTIDUMBRE EXPANDIDA</t>
  </si>
  <si>
    <t>s (mg)</t>
  </si>
  <si>
    <t>s (g)</t>
  </si>
  <si>
    <t xml:space="preserve">K mayor </t>
  </si>
  <si>
    <t>APROXIMACIÓN POR LÍNEA RECTA QUE CRUZA EN CERO</t>
  </si>
  <si>
    <t>INCERTIDUMBRE EXPANDIDA DE LOS ERRORES APROXIMADOS  U(Eappr)</t>
  </si>
  <si>
    <t xml:space="preserve">Escalon de Verificación     en  (g)  </t>
  </si>
  <si>
    <t>Carga (g)</t>
  </si>
  <si>
    <t>u(mg)</t>
  </si>
  <si>
    <t xml:space="preserve">  + </t>
  </si>
  <si>
    <t>R (g)</t>
  </si>
  <si>
    <t>VALIDACIÓN   -   RESULTADOS</t>
  </si>
  <si>
    <t>U (E)  (mg) =</t>
  </si>
  <si>
    <t>x</t>
  </si>
  <si>
    <t>y</t>
  </si>
  <si>
    <t>Dirección</t>
  </si>
  <si>
    <t>Información del Cliente</t>
  </si>
  <si>
    <t xml:space="preserve">Dirección                       </t>
  </si>
  <si>
    <t xml:space="preserve">Ciudad                          </t>
  </si>
  <si>
    <t>Fecha de recepción</t>
  </si>
  <si>
    <t xml:space="preserve">Fabricante </t>
  </si>
  <si>
    <t>Serie</t>
  </si>
  <si>
    <t>TEMPERATURA °C</t>
  </si>
  <si>
    <t>HUMEDAD RELATIVA % rH</t>
  </si>
  <si>
    <t>PRESIÓN ATMOSFÉRICA  hPa</t>
  </si>
  <si>
    <t>No CERTIFICADO</t>
  </si>
  <si>
    <t>6.2 PRUEBA DE EXCENTRICIDAD</t>
  </si>
  <si>
    <t>g</t>
  </si>
  <si>
    <t>Figura 1</t>
  </si>
  <si>
    <t>Prueba de excentricidad.</t>
  </si>
  <si>
    <t>REPETICIÓN. No.</t>
  </si>
  <si>
    <t>INDICACIÓN g</t>
  </si>
  <si>
    <t>Prueba de repetibilidad.</t>
  </si>
  <si>
    <t xml:space="preserve">La prueba consiste en la colocación repetitiva de la misma carga en el receptor de carga, bajo condiciones idénticas de manejo de la carga y del instrumento, y bajo las mismas condiciones de prueba, tanto como sea posible. Esta prueba fue realizada según numeral 5,1. de la Guia SIM MWG7/cg-01/v.00, </t>
  </si>
  <si>
    <t>6.3  ERROR DE INDICACIÓN</t>
  </si>
  <si>
    <t>Prueba para los errores de las indicaciones</t>
  </si>
  <si>
    <t>La prueba para los errores de las indicaciones se realizó según el numeral  5,1. de la Guia SIM MWG7/cg-01/v.00</t>
  </si>
  <si>
    <t>La incertidumbre estándar del error obtenida durante el ejercicio de calibración, debe incrementarse por la adición de la incertidumbre estándar de la lectura, ver modelo.</t>
  </si>
  <si>
    <t>w *</t>
  </si>
  <si>
    <t>s (R )</t>
  </si>
  <si>
    <t>Desviación estándar del usuario</t>
  </si>
  <si>
    <t>d</t>
  </si>
  <si>
    <t>Resolución de la balanza</t>
  </si>
  <si>
    <t>__________________________________</t>
  </si>
  <si>
    <t>Carga para excentricidad    (g)</t>
  </si>
  <si>
    <t>Valor nominal Cargas de    prueba (g) mN</t>
  </si>
  <si>
    <t>Grados efectivos de libertad de Excentricidad</t>
  </si>
  <si>
    <t>Grados efectivos de libertad de Repetibilidad</t>
  </si>
  <si>
    <t>Grados efectivos de libertad de Resolución</t>
  </si>
  <si>
    <t>Grados efectivos de libertad de Pesas</t>
  </si>
  <si>
    <t>Grados efectivos de libertad de Empuje</t>
  </si>
  <si>
    <t>Grados efectivos de libertad de Deriva</t>
  </si>
  <si>
    <t xml:space="preserve">INCERTIDUMBRE ESTÁNDAR DEL ERROR  </t>
  </si>
  <si>
    <t xml:space="preserve">INCERTIDUMBRE ESTÁNDAR MASA DE REFERENCIA  </t>
  </si>
  <si>
    <t>ANTES DE AJUSTE</t>
  </si>
  <si>
    <t>DESPUES DE AJUSTE</t>
  </si>
  <si>
    <t>Grados efectivos de libertad   Ʋ= n-3</t>
  </si>
  <si>
    <t>y = m x   +   b</t>
  </si>
  <si>
    <t>u2(a1) =</t>
  </si>
  <si>
    <t xml:space="preserve">  la  pendiente</t>
  </si>
  <si>
    <t>punto  de  corte</t>
  </si>
  <si>
    <t>N=</t>
  </si>
  <si>
    <t xml:space="preserve">Observaciones </t>
  </si>
  <si>
    <t>Calibrado por</t>
  </si>
  <si>
    <t>según certificado</t>
  </si>
  <si>
    <t>K =</t>
  </si>
  <si>
    <t>NC 95,45%</t>
  </si>
  <si>
    <t xml:space="preserve">Determinar la diferencia de indicación del instrumento con carga en posiciones periféricas.       </t>
  </si>
  <si>
    <t>Colocación repetitiva de la misma carga en el receptor de carga, la(s) carga(s) de prueba debería ser en lo posible de una sola pieza.</t>
  </si>
  <si>
    <t xml:space="preserve">Carga Max                      </t>
  </si>
  <si>
    <t xml:space="preserve">Carga Min                       </t>
  </si>
  <si>
    <t xml:space="preserve">División de Escala          </t>
  </si>
  <si>
    <t xml:space="preserve">Escalón de verificación    </t>
  </si>
  <si>
    <t>1.   DESCRIPCIÓN DEL EQUIPO</t>
  </si>
  <si>
    <t>BALANZA DIGITAL</t>
  </si>
  <si>
    <t>Objeto</t>
  </si>
  <si>
    <t>Apropiadas</t>
  </si>
  <si>
    <t>10.   RESULTADOS DE MEDICIÓN.</t>
  </si>
  <si>
    <t>mg</t>
  </si>
  <si>
    <t>7.   CONDICIONES DE MEDICIÓN:</t>
  </si>
  <si>
    <t>6.1  PRUEBA DE REPETIBILIDAD</t>
  </si>
  <si>
    <t xml:space="preserve">12.   INCERTIDUMBRE EXPANDIDA DE LOS ERRORES   </t>
  </si>
  <si>
    <t>14.   OBSERVACIONES</t>
  </si>
  <si>
    <t>15.   RESULTADOS ANTES DE AJUSTE</t>
  </si>
  <si>
    <r>
      <rPr>
        <b/>
        <sz val="9"/>
        <color theme="1"/>
        <rFont val="Arial Narrow"/>
        <family val="2"/>
      </rPr>
      <t>NOTA</t>
    </r>
    <r>
      <rPr>
        <sz val="9"/>
        <color theme="1"/>
        <rFont val="Arial Narrow"/>
        <family val="2"/>
      </rPr>
      <t>: Las condiciones ambientales se refieren al sitio y momento de la calibración.</t>
    </r>
  </si>
  <si>
    <t xml:space="preserve">    ______________________________</t>
  </si>
  <si>
    <t>E (R)  (mg) =</t>
  </si>
  <si>
    <t xml:space="preserve">                    Firma Autorizada</t>
  </si>
  <si>
    <t>Esta prueba evalúa las indicaciones de una misma carga ubicada en diferentes posiciones del receptor de carga (figura 1), se realizó con (1/3) un tercio de la carga máxima de acuerdo a la Guia SIM MWG7/cg-01/v.00, numeral 5,3.</t>
  </si>
  <si>
    <r>
      <t>Solicitante</t>
    </r>
    <r>
      <rPr>
        <sz val="12"/>
        <color rgb="FF000000"/>
        <rFont val="Arial Narrow"/>
        <family val="2"/>
      </rPr>
      <t xml:space="preserve">                    </t>
    </r>
  </si>
  <si>
    <r>
      <rPr>
        <b/>
        <i/>
        <sz val="10"/>
        <color theme="1"/>
        <rFont val="Arial Narrow"/>
        <family val="2"/>
      </rPr>
      <t>REPETIBILIDAD</t>
    </r>
    <r>
      <rPr>
        <b/>
        <sz val="10"/>
        <color theme="1"/>
        <rFont val="Arial Narrow"/>
        <family val="2"/>
      </rPr>
      <t>:</t>
    </r>
    <r>
      <rPr>
        <sz val="10"/>
        <color theme="1"/>
        <rFont val="Arial Narrow"/>
        <family val="2"/>
      </rPr>
      <t xml:space="preserve">                </t>
    </r>
  </si>
  <si>
    <r>
      <rPr>
        <b/>
        <i/>
        <sz val="10"/>
        <color theme="1"/>
        <rFont val="Arial Narrow"/>
        <family val="2"/>
      </rPr>
      <t>ERROR DE INDICACIÓN</t>
    </r>
    <r>
      <rPr>
        <sz val="10"/>
        <color theme="1"/>
        <rFont val="Arial Narrow"/>
        <family val="2"/>
      </rPr>
      <t xml:space="preserve">:   </t>
    </r>
  </si>
  <si>
    <r>
      <t xml:space="preserve">La incertidumbre reportada corresponde a la incertidumbre de medición expandida que resulta de la incertidumbre combinada  multiplicada por el factor de cobertura K= 2  Evaluada según  Guía </t>
    </r>
    <r>
      <rPr>
        <b/>
        <sz val="12"/>
        <color theme="1"/>
        <rFont val="Arial Narrow"/>
        <family val="2"/>
      </rPr>
      <t>SIM MWG7/cg-01/v.00.</t>
    </r>
  </si>
  <si>
    <t>………………………………..FIN DE ESTE DOCUMENTO………………………………..</t>
  </si>
  <si>
    <r>
      <rPr>
        <b/>
        <i/>
        <sz val="10"/>
        <color theme="1"/>
        <rFont val="Arial Narrow"/>
        <family val="2"/>
      </rPr>
      <t>EXCENTRICIDAD</t>
    </r>
    <r>
      <rPr>
        <b/>
        <sz val="10"/>
        <color theme="1"/>
        <rFont val="Arial Narrow"/>
        <family val="2"/>
      </rPr>
      <t>:</t>
    </r>
    <r>
      <rPr>
        <sz val="10"/>
        <color theme="1"/>
        <rFont val="Arial Narrow"/>
        <family val="2"/>
      </rPr>
      <t xml:space="preserve">                    </t>
    </r>
  </si>
  <si>
    <r>
      <rPr>
        <b/>
        <sz val="12"/>
        <color theme="1"/>
        <rFont val="Arial Narrow"/>
        <family val="2"/>
      </rPr>
      <t>· </t>
    </r>
    <r>
      <rPr>
        <sz val="12"/>
        <color theme="1"/>
        <rFont val="Arial Narrow"/>
        <family val="2"/>
      </rPr>
      <t>    Revisar periódicamente el comportamiento de la balanza mediante el control de pesas calibradas.</t>
    </r>
  </si>
  <si>
    <r>
      <rPr>
        <b/>
        <sz val="12"/>
        <color theme="1"/>
        <rFont val="Arial Narrow"/>
        <family val="2"/>
      </rPr>
      <t>·  </t>
    </r>
    <r>
      <rPr>
        <sz val="12"/>
        <color theme="1"/>
        <rFont val="Arial Narrow"/>
        <family val="2"/>
      </rPr>
      <t>  La balanza debe ubicarse en una base apropiada para evitar vibraciones.</t>
    </r>
  </si>
  <si>
    <r>
      <t xml:space="preserve">3.   RESULTADOS DEL EXAMEN FÍSICO </t>
    </r>
    <r>
      <rPr>
        <sz val="10"/>
        <color theme="1"/>
        <rFont val="Arial Narrow"/>
        <family val="2"/>
      </rPr>
      <t xml:space="preserve">         </t>
    </r>
    <r>
      <rPr>
        <sz val="12"/>
        <color theme="1"/>
        <rFont val="Arial Narrow"/>
        <family val="2"/>
      </rPr>
      <t>El equipo se encuentra en buenas condiciones</t>
    </r>
  </si>
  <si>
    <t>FECHA DE CALIBRACIÓN</t>
  </si>
  <si>
    <t>CLASE DE PESAS</t>
  </si>
  <si>
    <r>
      <t>Masa  Convencional (g)  m</t>
    </r>
    <r>
      <rPr>
        <vertAlign val="subscript"/>
        <sz val="11"/>
        <rFont val="Arial"/>
        <family val="2"/>
      </rPr>
      <t>c</t>
    </r>
  </si>
  <si>
    <r>
      <t>m</t>
    </r>
    <r>
      <rPr>
        <vertAlign val="subscript"/>
        <sz val="11"/>
        <color theme="1"/>
        <rFont val="Arial"/>
        <family val="2"/>
      </rPr>
      <t>c</t>
    </r>
  </si>
  <si>
    <r>
      <t>pI</t>
    </r>
    <r>
      <rPr>
        <b/>
        <i/>
        <vertAlign val="superscript"/>
        <sz val="11"/>
        <color theme="1"/>
        <rFont val="Arial"/>
        <family val="2"/>
      </rPr>
      <t>2</t>
    </r>
  </si>
  <si>
    <r>
      <t>u</t>
    </r>
    <r>
      <rPr>
        <b/>
        <i/>
        <vertAlign val="superscript"/>
        <sz val="11"/>
        <color theme="1"/>
        <rFont val="Arial"/>
        <family val="2"/>
      </rPr>
      <t>2</t>
    </r>
    <r>
      <rPr>
        <b/>
        <i/>
        <sz val="11"/>
        <color theme="1"/>
        <rFont val="Arial"/>
        <family val="2"/>
      </rPr>
      <t>(Eappr)</t>
    </r>
  </si>
  <si>
    <r>
      <t>min X2 = min Chi</t>
    </r>
    <r>
      <rPr>
        <b/>
        <i/>
        <vertAlign val="superscript"/>
        <sz val="11"/>
        <rFont val="Arial"/>
        <family val="2"/>
      </rPr>
      <t>2</t>
    </r>
  </si>
  <si>
    <r>
      <t>min X</t>
    </r>
    <r>
      <rPr>
        <b/>
        <i/>
        <vertAlign val="superscript"/>
        <sz val="11"/>
        <color theme="0"/>
        <rFont val="Arial"/>
        <family val="2"/>
      </rPr>
      <t>2</t>
    </r>
    <r>
      <rPr>
        <b/>
        <i/>
        <sz val="11"/>
        <color theme="0"/>
        <rFont val="Arial"/>
        <family val="2"/>
      </rPr>
      <t xml:space="preserve">  =</t>
    </r>
  </si>
  <si>
    <r>
      <t>a</t>
    </r>
    <r>
      <rPr>
        <b/>
        <i/>
        <vertAlign val="subscript"/>
        <sz val="11"/>
        <color theme="0"/>
        <rFont val="Arial"/>
        <family val="2"/>
      </rPr>
      <t xml:space="preserve">1    </t>
    </r>
  </si>
  <si>
    <r>
      <t>a</t>
    </r>
    <r>
      <rPr>
        <b/>
        <i/>
        <vertAlign val="subscript"/>
        <sz val="11"/>
        <color theme="1"/>
        <rFont val="Arial"/>
        <family val="2"/>
      </rPr>
      <t>1</t>
    </r>
    <r>
      <rPr>
        <b/>
        <i/>
        <vertAlign val="superscript"/>
        <sz val="11"/>
        <color theme="1"/>
        <rFont val="Arial"/>
        <family val="2"/>
      </rPr>
      <t>2</t>
    </r>
    <r>
      <rPr>
        <b/>
        <i/>
        <sz val="11"/>
        <color theme="1"/>
        <rFont val="Arial"/>
        <family val="2"/>
      </rPr>
      <t>=</t>
    </r>
  </si>
  <si>
    <r>
      <t>u</t>
    </r>
    <r>
      <rPr>
        <b/>
        <i/>
        <vertAlign val="superscript"/>
        <sz val="11"/>
        <color theme="0"/>
        <rFont val="Arial"/>
        <family val="2"/>
      </rPr>
      <t>2</t>
    </r>
    <r>
      <rPr>
        <b/>
        <i/>
        <sz val="11"/>
        <color theme="0"/>
        <rFont val="Arial"/>
        <family val="2"/>
      </rPr>
      <t>(R) =</t>
    </r>
  </si>
  <si>
    <r>
      <t>u</t>
    </r>
    <r>
      <rPr>
        <b/>
        <i/>
        <vertAlign val="superscript"/>
        <sz val="11"/>
        <color theme="1"/>
        <rFont val="Arial"/>
        <family val="2"/>
      </rPr>
      <t>2</t>
    </r>
    <r>
      <rPr>
        <b/>
        <i/>
        <sz val="11"/>
        <color theme="1"/>
        <rFont val="Arial"/>
        <family val="2"/>
      </rPr>
      <t>(R(dys)) =</t>
    </r>
  </si>
  <si>
    <r>
      <t>u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(Eappr)</t>
    </r>
  </si>
  <si>
    <r>
      <t>R</t>
    </r>
    <r>
      <rPr>
        <b/>
        <vertAlign val="superscript"/>
        <sz val="11"/>
        <rFont val="Arial"/>
        <family val="2"/>
      </rPr>
      <t>2</t>
    </r>
  </si>
  <si>
    <t>Estima el desempeño del instrumento en el alcance total de su medición.</t>
  </si>
  <si>
    <t>DIF. (g)</t>
  </si>
  <si>
    <t>Sartorius</t>
  </si>
  <si>
    <t>13.   INCERTIDUMBRE DE LA MEDICIÓN.</t>
  </si>
  <si>
    <t>Indicación 1(g)</t>
  </si>
  <si>
    <t>11.   MODELO MATEMÁTICO</t>
  </si>
  <si>
    <r>
      <rPr>
        <b/>
        <sz val="12"/>
        <color theme="1"/>
        <rFont val="Arial Narrow"/>
        <family val="2"/>
      </rPr>
      <t xml:space="preserve">·   </t>
    </r>
    <r>
      <rPr>
        <sz val="12"/>
        <color theme="1"/>
        <rFont val="Arial Narrow"/>
        <family val="2"/>
      </rPr>
      <t>  La conformidad del equipo es responsabilidad del usuario según el uso y tolerancias establecidas                          .      en los procesos.</t>
    </r>
  </si>
  <si>
    <t>Información</t>
  </si>
  <si>
    <t>No</t>
  </si>
  <si>
    <t>Fecha de Recepción</t>
  </si>
  <si>
    <t>Codigo interno</t>
  </si>
  <si>
    <t>Certificado</t>
  </si>
  <si>
    <t>Pesas</t>
  </si>
  <si>
    <t>Marcación</t>
  </si>
  <si>
    <t>Valor nominal (g)</t>
  </si>
  <si>
    <t>Error (mg)</t>
  </si>
  <si>
    <t>Incertidumbre de calibración (mg)</t>
  </si>
  <si>
    <t>Identificación Interna</t>
  </si>
  <si>
    <t xml:space="preserve">E2   1 g  </t>
  </si>
  <si>
    <t>E 2</t>
  </si>
  <si>
    <t>AJS</t>
  </si>
  <si>
    <t>M-001</t>
  </si>
  <si>
    <t xml:space="preserve">E2   2 g  </t>
  </si>
  <si>
    <t>AKI</t>
  </si>
  <si>
    <t xml:space="preserve">E2   2 g punto </t>
  </si>
  <si>
    <t>AKJ</t>
  </si>
  <si>
    <t xml:space="preserve">E2   5 g  </t>
  </si>
  <si>
    <t>AGU</t>
  </si>
  <si>
    <t xml:space="preserve">E2   10 g  </t>
  </si>
  <si>
    <t>AH3</t>
  </si>
  <si>
    <t xml:space="preserve">E2   20 g  </t>
  </si>
  <si>
    <t>AJ1</t>
  </si>
  <si>
    <t xml:space="preserve">E2   20 g punto </t>
  </si>
  <si>
    <t>AKA</t>
  </si>
  <si>
    <t xml:space="preserve">E2   50 g  </t>
  </si>
  <si>
    <t>AHL</t>
  </si>
  <si>
    <t xml:space="preserve">E2   100 g  </t>
  </si>
  <si>
    <t>AJG</t>
  </si>
  <si>
    <t xml:space="preserve">E2   200 g  </t>
  </si>
  <si>
    <t>ALZ</t>
  </si>
  <si>
    <t xml:space="preserve">E2   200 g punto </t>
  </si>
  <si>
    <t>ALW</t>
  </si>
  <si>
    <t xml:space="preserve">E2   500 g  </t>
  </si>
  <si>
    <t>ACT</t>
  </si>
  <si>
    <t xml:space="preserve">E2   1000 g  </t>
  </si>
  <si>
    <t>ABN</t>
  </si>
  <si>
    <t xml:space="preserve">E2   2000 g  </t>
  </si>
  <si>
    <t>AC1</t>
  </si>
  <si>
    <t xml:space="preserve">E2   2000 g punto </t>
  </si>
  <si>
    <t>ABY</t>
  </si>
  <si>
    <t xml:space="preserve">E2   5000 g  </t>
  </si>
  <si>
    <t>AB9</t>
  </si>
  <si>
    <t>E2   10000 g</t>
  </si>
  <si>
    <t>AAM</t>
  </si>
  <si>
    <t xml:space="preserve">F1   1 g  </t>
  </si>
  <si>
    <t>F 1</t>
  </si>
  <si>
    <t>M-002</t>
  </si>
  <si>
    <t xml:space="preserve">F1   2 g  </t>
  </si>
  <si>
    <t xml:space="preserve">F1   2 g punto </t>
  </si>
  <si>
    <t>2*</t>
  </si>
  <si>
    <t xml:space="preserve">F1   5 g  </t>
  </si>
  <si>
    <t>Intervalo de Medición (g) Clase M1</t>
  </si>
  <si>
    <t xml:space="preserve">F1   10 g  </t>
  </si>
  <si>
    <t>A</t>
  </si>
  <si>
    <t xml:space="preserve">F1   20 g  </t>
  </si>
  <si>
    <t xml:space="preserve">F1   20 g punto </t>
  </si>
  <si>
    <t>20*</t>
  </si>
  <si>
    <t xml:space="preserve">F1   50 g  </t>
  </si>
  <si>
    <t xml:space="preserve">F1   100 g  </t>
  </si>
  <si>
    <t>N °  Certificado Aderido</t>
  </si>
  <si>
    <t xml:space="preserve">F1   200 g  </t>
  </si>
  <si>
    <t xml:space="preserve">F1   200 g punto </t>
  </si>
  <si>
    <t>200*</t>
  </si>
  <si>
    <t xml:space="preserve">F1   500 g  </t>
  </si>
  <si>
    <t xml:space="preserve">F1   1000 g  </t>
  </si>
  <si>
    <t xml:space="preserve">F1   2000 g  </t>
  </si>
  <si>
    <t xml:space="preserve">F1   2000 g punto </t>
  </si>
  <si>
    <t xml:space="preserve">F1   5000 g  </t>
  </si>
  <si>
    <t>F1   10000 g</t>
  </si>
  <si>
    <t>M-003</t>
  </si>
  <si>
    <t>F1   20000 g</t>
  </si>
  <si>
    <t>M-004</t>
  </si>
  <si>
    <t xml:space="preserve">F1 R  1 g  </t>
  </si>
  <si>
    <t>Rice Lake</t>
  </si>
  <si>
    <t>No identifica</t>
  </si>
  <si>
    <t>No porta</t>
  </si>
  <si>
    <t>Cap-376-16</t>
  </si>
  <si>
    <t>M-016</t>
  </si>
  <si>
    <t xml:space="preserve">F1 R  2 g  </t>
  </si>
  <si>
    <t xml:space="preserve">F1 R  2 g punto </t>
  </si>
  <si>
    <t>punto</t>
  </si>
  <si>
    <t xml:space="preserve">F1 R  5 g  </t>
  </si>
  <si>
    <t xml:space="preserve">F1 R  10 g  </t>
  </si>
  <si>
    <t xml:space="preserve">F1 R  20 g  </t>
  </si>
  <si>
    <t xml:space="preserve">F1 R  20 g punto </t>
  </si>
  <si>
    <t xml:space="preserve">F1 R  50 g  </t>
  </si>
  <si>
    <t xml:space="preserve">F1 R  100 g  </t>
  </si>
  <si>
    <t xml:space="preserve">F1 R  200 g  </t>
  </si>
  <si>
    <t xml:space="preserve">F1 R  200 g punto </t>
  </si>
  <si>
    <t xml:space="preserve">F1 R  500 g  </t>
  </si>
  <si>
    <t xml:space="preserve">F1 R  1000 g  </t>
  </si>
  <si>
    <t xml:space="preserve">F1 R  2000 g  </t>
  </si>
  <si>
    <t xml:space="preserve">F1 R  2000 g punto </t>
  </si>
  <si>
    <t xml:space="preserve">F1 R  5000 g  </t>
  </si>
  <si>
    <t>Metrologos</t>
  </si>
  <si>
    <t>Nombre del Metrologo</t>
  </si>
  <si>
    <t>AV</t>
  </si>
  <si>
    <t>Arcesio Velandia Carreño</t>
  </si>
  <si>
    <t xml:space="preserve"> Director Tecnico / Sust SGL</t>
  </si>
  <si>
    <t>LH</t>
  </si>
  <si>
    <t>Luis Henry Barreto Rojas</t>
  </si>
  <si>
    <t xml:space="preserve"> Sistema de Gestión / Sust Dir Tecnico</t>
  </si>
  <si>
    <t>PV</t>
  </si>
  <si>
    <t>Pedro Jose Vargas Lopéz</t>
  </si>
  <si>
    <t>Lab Volumen / Sust Lab Masa</t>
  </si>
  <si>
    <t>EA</t>
  </si>
  <si>
    <t>Elvis Aguirre Romero</t>
  </si>
  <si>
    <t xml:space="preserve"> Lab Masa / Sust Lab Volumen</t>
  </si>
  <si>
    <t>Patron Utilizado en la Calibración - Termohigrometros</t>
  </si>
  <si>
    <t>Identificación / Serie</t>
  </si>
  <si>
    <t>Capacidad (Según Certificado)</t>
  </si>
  <si>
    <t>División de Escala / Resolución</t>
  </si>
  <si>
    <t>Corrección (Según Certificado)</t>
  </si>
  <si>
    <t>Incertidumbre del Certificado</t>
  </si>
  <si>
    <t>Factor de Cobertura (Según Certificado)</t>
  </si>
  <si>
    <t>Fecha de Calibración</t>
  </si>
  <si>
    <t>Trazabilidad y numero</t>
  </si>
  <si>
    <t>Lufft Opus 20</t>
  </si>
  <si>
    <t>Viajeras F1  5 g</t>
  </si>
  <si>
    <t>Viajeras F1  200 g</t>
  </si>
  <si>
    <t>Viajeras F1  1 kg</t>
  </si>
  <si>
    <t>Viajeras F1  2 kg</t>
  </si>
  <si>
    <t>Viajeras F1  5 kg</t>
  </si>
  <si>
    <t>F1</t>
  </si>
  <si>
    <t>Datos de las Pesas Patrón</t>
  </si>
  <si>
    <t>Carga para Excentricidad g</t>
  </si>
  <si>
    <t>Carga para Repetibilidad g</t>
  </si>
  <si>
    <t>CMC Balanza</t>
  </si>
  <si>
    <t>8200  kg</t>
  </si>
  <si>
    <t xml:space="preserve">Division de Escala (d)  (g)  </t>
  </si>
  <si>
    <t>CAP-377-16</t>
  </si>
  <si>
    <t>M-015</t>
  </si>
  <si>
    <t>Masa Convensional (g)</t>
  </si>
  <si>
    <r>
      <t>m</t>
    </r>
    <r>
      <rPr>
        <vertAlign val="subscript"/>
        <sz val="11"/>
        <color theme="1"/>
        <rFont val="Arial"/>
        <family val="2"/>
      </rPr>
      <t>N (g)</t>
    </r>
  </si>
  <si>
    <t>DATOS DE LAS PESAS PATRÓN</t>
  </si>
  <si>
    <t>Juego Viajeras</t>
  </si>
  <si>
    <t>Juego de Pesas</t>
  </si>
  <si>
    <t>Vansolix  S.A</t>
  </si>
  <si>
    <t xml:space="preserve">INM </t>
  </si>
  <si>
    <t xml:space="preserve"> Juego Patron de Referencia</t>
  </si>
  <si>
    <t>Juego patron de Trabajo 1</t>
  </si>
  <si>
    <t>Juego patron de Trabajo 2</t>
  </si>
  <si>
    <t>Patron de Trabajo</t>
  </si>
  <si>
    <t>Mettler Toledo</t>
  </si>
  <si>
    <t>No identificado</t>
  </si>
  <si>
    <t>0,22.0714.0802.024</t>
  </si>
  <si>
    <t>INM 1995</t>
  </si>
  <si>
    <t>INM 1997</t>
  </si>
  <si>
    <t>INM 2147</t>
  </si>
  <si>
    <t>0,26.0714.0802.024</t>
  </si>
  <si>
    <t>INM 1996</t>
  </si>
  <si>
    <t>INM 1999</t>
  </si>
  <si>
    <t>INM 2148</t>
  </si>
  <si>
    <t>CAH-061-16</t>
  </si>
  <si>
    <t>CAT-145-16</t>
  </si>
  <si>
    <t>CDT CERT-16-EMP-1057-2567</t>
  </si>
  <si>
    <t>CAT-144-16</t>
  </si>
  <si>
    <t>CAH-060-16</t>
  </si>
  <si>
    <t>CDT CERT-16-EMP-1056-2567</t>
  </si>
  <si>
    <t>0,23.0714.0802.024</t>
  </si>
  <si>
    <t>INM 1998</t>
  </si>
  <si>
    <t>INM 2149</t>
  </si>
  <si>
    <t>Lugar de Verificación</t>
  </si>
  <si>
    <t>Fecha de verificación</t>
  </si>
  <si>
    <t>Datos de la Balanza a Verificar</t>
  </si>
  <si>
    <t>Informe</t>
  </si>
  <si>
    <t>DATOS DE LA BALANZA A VERIFICAR</t>
  </si>
  <si>
    <t>4.   MÉTODO DE VERIFICACIÓN UTILIZADO</t>
  </si>
  <si>
    <t>En la verificación se utilizo el método de comparación directa con masa patrón</t>
  </si>
  <si>
    <t>5.   PROCEDIMIENTO DE VERIFICACIÓN</t>
  </si>
  <si>
    <t>6.   LUGAR Y DIRECCIÓN DE VERIFICACIÓN :</t>
  </si>
  <si>
    <t>9.   TRAZABILIDAD DEL PATRON QUE SE USO EN LA VERIFICACIÓN.</t>
  </si>
  <si>
    <t>medición en condición de verificación</t>
  </si>
  <si>
    <r>
      <rPr>
        <b/>
        <sz val="12"/>
        <color theme="1"/>
        <rFont val="Arial Narrow"/>
        <family val="2"/>
      </rPr>
      <t>·  </t>
    </r>
    <r>
      <rPr>
        <sz val="12"/>
        <color theme="1"/>
        <rFont val="Arial Narrow"/>
        <family val="2"/>
      </rPr>
      <t>  En este informe el signo decimal es la coma (,).</t>
    </r>
  </si>
  <si>
    <r>
      <rPr>
        <b/>
        <sz val="12"/>
        <color theme="1"/>
        <rFont val="Arial Narrow"/>
        <family val="2"/>
      </rPr>
      <t>·  </t>
    </r>
    <r>
      <rPr>
        <sz val="12"/>
        <color theme="1"/>
        <rFont val="Arial Narrow"/>
        <family val="2"/>
      </rPr>
      <t>  El desplazamiento de la  balanza a otro lugar con otras condiciones puede invalidar la verificación.</t>
    </r>
  </si>
  <si>
    <t xml:space="preserve">         VERIFICADO POR:</t>
  </si>
  <si>
    <t>2.   CODIGO INTERNO</t>
  </si>
  <si>
    <t xml:space="preserve"> Fecha de elaboración: </t>
  </si>
  <si>
    <t xml:space="preserve">Escalón de Verificación     en  (g)  </t>
  </si>
  <si>
    <t>Cargas para Error de Indicación (Exactitud)                                         según certificado</t>
  </si>
  <si>
    <t>Marcación de la pesa</t>
  </si>
  <si>
    <t>Indicación (g)</t>
  </si>
  <si>
    <t>s máxima (mg)</t>
  </si>
  <si>
    <t>Indicación 2(g)</t>
  </si>
  <si>
    <t>Código interno</t>
  </si>
  <si>
    <t xml:space="preserve">División de Escala (d)                  en (g)  </t>
  </si>
  <si>
    <t xml:space="preserve"> D2 PRESICIÓN DE LA BALANZA ANEXO D (NTC 1848) CONTROL ESTADISTICO PRUEBA (F)</t>
  </si>
  <si>
    <t>DESVIACIÓN ESTANDAR SEGÚN  FABRICANTE (HISTORICO)mg</t>
  </si>
  <si>
    <t>Verificado por</t>
  </si>
  <si>
    <t>Lab SIC</t>
  </si>
  <si>
    <t>Tabla D2 Valores criticos de la distribución (F)</t>
  </si>
  <si>
    <t xml:space="preserve">CARGAS </t>
  </si>
  <si>
    <t xml:space="preserve">(F) CRITICO </t>
  </si>
  <si>
    <t>m</t>
  </si>
  <si>
    <t>REPETIBILIDAD DESVIACIÓN ESTANDAR mg</t>
  </si>
  <si>
    <t>F  critico (S)</t>
  </si>
  <si>
    <t>F critico (I)</t>
  </si>
  <si>
    <r>
      <t>Densidad del aire kg/m</t>
    </r>
    <r>
      <rPr>
        <b/>
        <vertAlign val="superscript"/>
        <sz val="12"/>
        <rFont val="Arial"/>
        <family val="2"/>
      </rPr>
      <t>3</t>
    </r>
  </si>
  <si>
    <r>
      <t xml:space="preserve">Unidades en   " °C ,  rH%  </t>
    </r>
    <r>
      <rPr>
        <sz val="14"/>
        <rFont val="Arial"/>
        <family val="2"/>
      </rPr>
      <t>y</t>
    </r>
    <r>
      <rPr>
        <b/>
        <sz val="14"/>
        <rFont val="Arial"/>
        <family val="2"/>
      </rPr>
      <t xml:space="preserve"> hPa " </t>
    </r>
    <r>
      <rPr>
        <sz val="14"/>
        <rFont val="Arial"/>
        <family val="2"/>
      </rPr>
      <t xml:space="preserve"> según corresponda</t>
    </r>
  </si>
  <si>
    <t>DATOS TERMOHIGRÓMETRO - BARÓMETRO</t>
  </si>
  <si>
    <t>Fecha Certificado</t>
  </si>
  <si>
    <t xml:space="preserve">M-012  </t>
  </si>
  <si>
    <t>Incertidumbre   U=(k=2)</t>
  </si>
  <si>
    <t>Temperatura</t>
  </si>
  <si>
    <t>Humedad</t>
  </si>
  <si>
    <t>Presión Admosferica</t>
  </si>
  <si>
    <t>°C</t>
  </si>
  <si>
    <t>%Rh</t>
  </si>
  <si>
    <t>hPa</t>
  </si>
  <si>
    <t>2016-11-01 - 2016-11-02 -    2016-10-28</t>
  </si>
  <si>
    <t>CAT-144-16 - CAH-060-16 - CDT CERT-16-EMP-1056-2567</t>
  </si>
  <si>
    <t>Codigo Interno</t>
  </si>
  <si>
    <t>Metrologó</t>
  </si>
  <si>
    <t xml:space="preserve">  V-002 </t>
  </si>
  <si>
    <t xml:space="preserve">M-012 </t>
  </si>
  <si>
    <t xml:space="preserve">M-010 </t>
  </si>
  <si>
    <t>INM - 2148</t>
  </si>
  <si>
    <t>INM-1996</t>
  </si>
  <si>
    <t>INM- 1999</t>
  </si>
  <si>
    <t xml:space="preserve">M-011 </t>
  </si>
  <si>
    <t>INM-2147</t>
  </si>
  <si>
    <t>INM-1997</t>
  </si>
  <si>
    <t>INM-1994</t>
  </si>
  <si>
    <t>2016-07-29 - 2016-08-04 -    2016-09-12</t>
  </si>
  <si>
    <t>INM 1995-1998-2149</t>
  </si>
  <si>
    <t>2016-10-31 - 2016-10-31 -    2016-10-28</t>
  </si>
  <si>
    <t>CAT-144-16 - CAH-060-16 - CDT CERT-16-EMP-1057-2567</t>
  </si>
  <si>
    <t>INM 1996-1999-2148</t>
  </si>
  <si>
    <t>2016-08-04 - 2016-08-04 -    2016-09-12</t>
  </si>
  <si>
    <t>INM-1994-1997-2147</t>
  </si>
  <si>
    <t>12000 g</t>
  </si>
  <si>
    <t>24000 g</t>
  </si>
  <si>
    <t>35000 g</t>
  </si>
  <si>
    <t>10 - 2*</t>
  </si>
  <si>
    <t>20 - 2 - 2*</t>
  </si>
  <si>
    <t>20 - 10 - 5*</t>
  </si>
  <si>
    <t>Bogota</t>
  </si>
  <si>
    <t>lab</t>
  </si>
  <si>
    <t>ggg</t>
  </si>
  <si>
    <t>llqaba</t>
  </si>
  <si>
    <t>M-005</t>
  </si>
  <si>
    <t>IB-1-18</t>
  </si>
  <si>
    <t>six</t>
  </si>
  <si>
    <t>M-013</t>
  </si>
  <si>
    <t>V-002</t>
  </si>
  <si>
    <t>M-010</t>
  </si>
  <si>
    <t xml:space="preserve">M-011  </t>
  </si>
  <si>
    <r>
      <t xml:space="preserve">Este Informe de Verificaciones Intermedias documenta que el instrumento se examinó y  se </t>
    </r>
    <r>
      <rPr>
        <sz val="10"/>
        <color rgb="FFFF0000"/>
        <rFont val="Arial"/>
        <family val="2"/>
      </rPr>
      <t>comparó in situ, los patrones empleados en la verificación documentan la trazabilidad conforme  al Sistema Internacional de Unidades (SI).</t>
    </r>
  </si>
  <si>
    <t>Fecha de Informe</t>
  </si>
  <si>
    <r>
      <rPr>
        <sz val="12"/>
        <color rgb="FFFF0000"/>
        <rFont val="Arial Narrow"/>
        <family val="2"/>
      </rPr>
      <t>En la verificación intermedia de balanzas se utilizó el procedimiento interno RT03-P14 Versión 0,</t>
    </r>
    <r>
      <rPr>
        <sz val="12"/>
        <color theme="1"/>
        <rFont val="Arial Narrow"/>
        <family val="2"/>
      </rPr>
      <t xml:space="preserve"> siguiendo los lineamientos, Guía para la calibración de los instrumentos para pesaje de funcionamiento no automático (SIM MWG7/cg-01v.00 - EURAMET/cg-18/v.02),aplicando las siguientes pruebas:</t>
    </r>
  </si>
  <si>
    <r>
      <t xml:space="preserve">8.   CONDICIONES AMBIENTALES </t>
    </r>
    <r>
      <rPr>
        <b/>
        <sz val="10"/>
        <color rgb="FFFF0000"/>
        <rFont val="Arial Narrow"/>
        <family val="2"/>
      </rPr>
      <t>CORREGIDAS.</t>
    </r>
  </si>
  <si>
    <t>ERROR (g)</t>
  </si>
  <si>
    <t>U (g)</t>
  </si>
  <si>
    <t>Error de Indicación en g</t>
  </si>
  <si>
    <t>U (E)  (g) =</t>
  </si>
  <si>
    <t>Hora Final</t>
  </si>
  <si>
    <t>Condicines Ambientales  Corregidas</t>
  </si>
  <si>
    <t>Condiciones Ambientales Promedios</t>
  </si>
  <si>
    <t>HOJA DE CÁLCULO DE VERIFICACIONES INTERMEDIAS DE BALANZAS</t>
  </si>
  <si>
    <t>masa para completar la carga  Max (g)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</si>
</sst>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0.000"/>
    <numFmt numFmtId="165" formatCode="0.00000"/>
    <numFmt numFmtId="166" formatCode="0.000000"/>
    <numFmt numFmtId="167" formatCode="0.0000000"/>
    <numFmt numFmtId="168" formatCode="yyyy\-mm\-dd;@"/>
    <numFmt numFmtId="169" formatCode="0.0000"/>
    <numFmt numFmtId="170" formatCode="0.0E+00"/>
    <numFmt numFmtId="171" formatCode="0.0"/>
    <numFmt numFmtId="172" formatCode="0.000000000"/>
    <numFmt numFmtId="173" formatCode="0.00000000"/>
    <numFmt numFmtId="174" formatCode="0.000E+00"/>
    <numFmt numFmtId="175" formatCode="0_ &quot;g&quot;"/>
    <numFmt numFmtId="176" formatCode="h:mm:ss;@"/>
    <numFmt numFmtId="177" formatCode="0_ &quot;mN&quot;"/>
    <numFmt numFmtId="178" formatCode="#,##0.0"/>
  </numFmts>
  <fonts count="6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6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9"/>
      <color theme="1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sz val="12"/>
      <color rgb="FF000000"/>
      <name val="Arial Narrow"/>
      <family val="2"/>
    </font>
    <font>
      <sz val="11"/>
      <color theme="1"/>
      <name val="Arial Narrow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vertAlign val="subscript"/>
      <sz val="11"/>
      <name val="Arial"/>
      <family val="2"/>
    </font>
    <font>
      <vertAlign val="subscript"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11"/>
      <color theme="0" tint="-4.9989318521683403E-2"/>
      <name val="Arial"/>
      <family val="2"/>
    </font>
    <font>
      <b/>
      <sz val="10"/>
      <name val="Arial"/>
      <family val="2"/>
    </font>
    <font>
      <b/>
      <i/>
      <sz val="11"/>
      <color theme="1"/>
      <name val="Arial"/>
      <family val="2"/>
    </font>
    <font>
      <b/>
      <i/>
      <vertAlign val="superscript"/>
      <sz val="11"/>
      <color theme="1"/>
      <name val="Arial"/>
      <family val="2"/>
    </font>
    <font>
      <b/>
      <i/>
      <vertAlign val="superscript"/>
      <sz val="11"/>
      <name val="Arial"/>
      <family val="2"/>
    </font>
    <font>
      <b/>
      <i/>
      <sz val="11"/>
      <color theme="0"/>
      <name val="Arial"/>
      <family val="2"/>
    </font>
    <font>
      <b/>
      <i/>
      <vertAlign val="superscript"/>
      <sz val="11"/>
      <color theme="0"/>
      <name val="Arial"/>
      <family val="2"/>
    </font>
    <font>
      <b/>
      <i/>
      <vertAlign val="subscript"/>
      <sz val="11"/>
      <color theme="0"/>
      <name val="Arial"/>
      <family val="2"/>
    </font>
    <font>
      <b/>
      <i/>
      <vertAlign val="subscript"/>
      <sz val="11"/>
      <color theme="1"/>
      <name val="Arial"/>
      <family val="2"/>
    </font>
    <font>
      <i/>
      <sz val="11"/>
      <color theme="1"/>
      <name val="Arial"/>
      <family val="2"/>
    </font>
    <font>
      <sz val="22"/>
      <color theme="0"/>
      <name val="Arial"/>
      <family val="2"/>
    </font>
    <font>
      <b/>
      <i/>
      <sz val="12"/>
      <color theme="1"/>
      <name val="Arial"/>
      <family val="2"/>
    </font>
    <font>
      <b/>
      <vertAlign val="superscript"/>
      <sz val="11"/>
      <name val="Arial"/>
      <family val="2"/>
    </font>
    <font>
      <sz val="26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sz val="14"/>
      <color theme="0"/>
      <name val="Arial"/>
      <family val="2"/>
    </font>
    <font>
      <sz val="10"/>
      <name val="Arial Narrow"/>
      <family val="2"/>
    </font>
    <font>
      <sz val="11"/>
      <color theme="0" tint="-0.34998626667073579"/>
      <name val="Arial"/>
      <family val="2"/>
    </font>
    <font>
      <b/>
      <i/>
      <sz val="12"/>
      <color theme="0" tint="-0.34998626667073579"/>
      <name val="Arial"/>
      <family val="2"/>
    </font>
    <font>
      <sz val="12"/>
      <color theme="0" tint="-0.34998626667073579"/>
      <name val="Arial"/>
      <family val="2"/>
    </font>
    <font>
      <b/>
      <sz val="12"/>
      <color theme="0" tint="-0.3499862666707357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vertAlign val="superscript"/>
      <sz val="12"/>
      <name val="Arial"/>
      <family val="2"/>
    </font>
    <font>
      <sz val="14"/>
      <name val="Arial"/>
      <family val="2"/>
    </font>
    <font>
      <sz val="12"/>
      <name val="Arial Narrow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2"/>
      <color rgb="FFFF0000"/>
      <name val="Arial Narrow"/>
      <family val="2"/>
    </font>
    <font>
      <b/>
      <sz val="10"/>
      <color rgb="FFFF0000"/>
      <name val="Arial Narrow"/>
      <family val="2"/>
    </font>
    <font>
      <b/>
      <sz val="12"/>
      <color rgb="FFFF0000"/>
      <name val="Arial Narrow"/>
      <family val="2"/>
    </font>
    <font>
      <sz val="12"/>
      <color rgb="FFFF0000"/>
      <name val="Arial"/>
      <family val="2"/>
    </font>
    <font>
      <i/>
      <sz val="11"/>
      <color theme="4" tint="0.59999389629810485"/>
      <name val="Arial"/>
      <family val="2"/>
    </font>
    <font>
      <b/>
      <i/>
      <sz val="11"/>
      <name val="Arial"/>
      <family val="2"/>
    </font>
    <font>
      <b/>
      <i/>
      <sz val="10"/>
      <color theme="1"/>
      <name val="Arial"/>
      <family val="2"/>
    </font>
    <font>
      <b/>
      <i/>
      <sz val="16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8DB4E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1F4E78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  <fill>
      <gradientFill degree="90">
        <stop position="0">
          <color rgb="FFFFFF00"/>
        </stop>
        <stop position="1">
          <color rgb="FF7030A0"/>
        </stop>
      </gradientFill>
    </fill>
    <fill>
      <patternFill patternType="solid">
        <fgColor theme="0"/>
        <bgColor auto="1"/>
      </patternFill>
    </fill>
    <fill>
      <patternFill patternType="darkGray">
        <bgColor rgb="FF0070C0"/>
      </patternFill>
    </fill>
    <fill>
      <patternFill patternType="solid">
        <fgColor rgb="FFF4B08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ACB9CA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thin">
        <color theme="5" tint="-0.24994659260841701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5" borderId="0" applyNumberFormat="0" applyBorder="0" applyAlignment="0" applyProtection="0"/>
    <xf numFmtId="2" fontId="5" fillId="14" borderId="5" applyFont="0" applyBorder="0" applyAlignment="0">
      <alignment horizontal="center" vertical="center" wrapText="1"/>
      <protection locked="0"/>
    </xf>
    <xf numFmtId="0" fontId="7" fillId="16" borderId="1" applyBorder="0">
      <alignment horizontal="center" vertical="center"/>
    </xf>
  </cellStyleXfs>
  <cellXfs count="969">
    <xf numFmtId="0" fontId="0" fillId="0" borderId="0" xfId="0"/>
    <xf numFmtId="0" fontId="4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left" vertical="center" wrapText="1"/>
    </xf>
    <xf numFmtId="2" fontId="7" fillId="0" borderId="0" xfId="0" applyNumberFormat="1" applyFont="1" applyBorder="1" applyAlignment="1">
      <alignment horizontal="left" vertical="center" wrapText="1"/>
    </xf>
    <xf numFmtId="168" fontId="7" fillId="0" borderId="0" xfId="0" applyNumberFormat="1" applyFont="1" applyAlignment="1">
      <alignment horizontal="left" vertical="center" wrapText="1"/>
    </xf>
    <xf numFmtId="2" fontId="9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168" fontId="7" fillId="0" borderId="0" xfId="0" applyNumberFormat="1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71" fontId="7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justify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/>
    <xf numFmtId="0" fontId="8" fillId="0" borderId="0" xfId="0" applyFont="1" applyBorder="1" applyAlignment="1">
      <alignment horizontal="right" vertical="center" wrapText="1"/>
    </xf>
    <xf numFmtId="2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170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justify" wrapText="1"/>
    </xf>
    <xf numFmtId="0" fontId="7" fillId="0" borderId="0" xfId="0" applyFont="1" applyAlignment="1">
      <alignment vertical="justify" wrapText="1"/>
    </xf>
    <xf numFmtId="0" fontId="7" fillId="0" borderId="0" xfId="0" applyFont="1" applyAlignment="1">
      <alignment horizontal="center" vertical="center" wrapText="1"/>
    </xf>
    <xf numFmtId="168" fontId="7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11" fontId="7" fillId="0" borderId="0" xfId="0" applyNumberFormat="1" applyFont="1" applyBorder="1" applyAlignment="1">
      <alignment horizontal="left" vertical="center" wrapText="1"/>
    </xf>
    <xf numFmtId="0" fontId="16" fillId="0" borderId="0" xfId="0" applyFont="1"/>
    <xf numFmtId="0" fontId="9" fillId="0" borderId="0" xfId="0" applyFont="1" applyBorder="1" applyAlignment="1">
      <alignment horizontal="left" vertical="center" wrapText="1"/>
    </xf>
    <xf numFmtId="168" fontId="9" fillId="0" borderId="0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2" fontId="10" fillId="0" borderId="37" xfId="0" applyNumberFormat="1" applyFont="1" applyBorder="1" applyAlignment="1">
      <alignment horizontal="center" vertical="center" wrapText="1"/>
    </xf>
    <xf numFmtId="1" fontId="10" fillId="0" borderId="16" xfId="0" applyNumberFormat="1" applyFont="1" applyBorder="1" applyAlignment="1">
      <alignment horizontal="center" vertical="center" wrapText="1"/>
    </xf>
    <xf numFmtId="2" fontId="10" fillId="0" borderId="16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1" fontId="9" fillId="0" borderId="20" xfId="0" applyNumberFormat="1" applyFont="1" applyBorder="1" applyAlignment="1">
      <alignment horizontal="center" vertical="center" wrapText="1"/>
    </xf>
    <xf numFmtId="171" fontId="9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" fontId="10" fillId="0" borderId="37" xfId="0" applyNumberFormat="1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169" fontId="9" fillId="2" borderId="1" xfId="0" applyNumberFormat="1" applyFont="1" applyFill="1" applyBorder="1" applyAlignment="1" applyProtection="1">
      <alignment horizontal="center" vertical="center" wrapText="1"/>
    </xf>
    <xf numFmtId="171" fontId="8" fillId="0" borderId="0" xfId="0" applyNumberFormat="1" applyFont="1" applyBorder="1" applyAlignment="1">
      <alignment horizontal="left" vertical="center" wrapText="1"/>
    </xf>
    <xf numFmtId="169" fontId="9" fillId="2" borderId="0" xfId="0" applyNumberFormat="1" applyFont="1" applyFill="1" applyBorder="1" applyAlignment="1" applyProtection="1">
      <alignment horizontal="center" vertical="center" wrapText="1"/>
    </xf>
    <xf numFmtId="166" fontId="9" fillId="2" borderId="0" xfId="0" applyNumberFormat="1" applyFont="1" applyFill="1" applyBorder="1" applyAlignment="1" applyProtection="1">
      <alignment horizontal="center" vertical="center"/>
    </xf>
    <xf numFmtId="164" fontId="9" fillId="2" borderId="0" xfId="0" applyNumberFormat="1" applyFont="1" applyFill="1" applyBorder="1" applyAlignment="1" applyProtection="1">
      <alignment horizontal="center" vertical="center"/>
    </xf>
    <xf numFmtId="0" fontId="12" fillId="0" borderId="39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2" fontId="9" fillId="0" borderId="16" xfId="0" applyNumberFormat="1" applyFont="1" applyBorder="1" applyAlignment="1">
      <alignment horizontal="left" vertical="center" wrapText="1"/>
    </xf>
    <xf numFmtId="168" fontId="9" fillId="0" borderId="6" xfId="0" applyNumberFormat="1" applyFont="1" applyBorder="1" applyAlignment="1">
      <alignment horizontal="left" vertical="center" wrapText="1"/>
    </xf>
    <xf numFmtId="1" fontId="9" fillId="0" borderId="6" xfId="0" applyNumberFormat="1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2" fontId="9" fillId="0" borderId="0" xfId="0" applyNumberFormat="1" applyFont="1"/>
    <xf numFmtId="171" fontId="9" fillId="0" borderId="18" xfId="0" applyNumberFormat="1" applyFont="1" applyBorder="1" applyAlignment="1">
      <alignment horizontal="center" vertical="center" wrapText="1"/>
    </xf>
    <xf numFmtId="171" fontId="9" fillId="0" borderId="20" xfId="0" applyNumberFormat="1" applyFont="1" applyBorder="1" applyAlignment="1">
      <alignment horizontal="center" vertical="center" wrapText="1"/>
    </xf>
    <xf numFmtId="171" fontId="9" fillId="0" borderId="35" xfId="0" applyNumberFormat="1" applyFont="1" applyBorder="1" applyAlignment="1">
      <alignment horizontal="center" vertical="center" wrapText="1"/>
    </xf>
    <xf numFmtId="171" fontId="9" fillId="0" borderId="6" xfId="0" applyNumberFormat="1" applyFont="1" applyBorder="1" applyAlignment="1">
      <alignment horizontal="center" vertical="center" wrapText="1"/>
    </xf>
    <xf numFmtId="2" fontId="9" fillId="2" borderId="1" xfId="0" applyNumberFormat="1" applyFont="1" applyFill="1" applyBorder="1" applyAlignment="1" applyProtection="1">
      <alignment horizontal="center" vertical="center"/>
    </xf>
    <xf numFmtId="171" fontId="9" fillId="2" borderId="1" xfId="0" applyNumberFormat="1" applyFont="1" applyFill="1" applyBorder="1" applyAlignment="1" applyProtection="1">
      <alignment horizontal="center" vertical="center"/>
    </xf>
    <xf numFmtId="169" fontId="9" fillId="0" borderId="20" xfId="0" applyNumberFormat="1" applyFont="1" applyBorder="1" applyAlignment="1">
      <alignment horizontal="center" vertical="center" wrapText="1"/>
    </xf>
    <xf numFmtId="169" fontId="9" fillId="0" borderId="1" xfId="0" applyNumberFormat="1" applyFont="1" applyBorder="1" applyAlignment="1">
      <alignment horizontal="center" vertical="center" wrapText="1"/>
    </xf>
    <xf numFmtId="166" fontId="9" fillId="0" borderId="20" xfId="0" applyNumberFormat="1" applyFont="1" applyBorder="1" applyAlignment="1">
      <alignment horizontal="center" vertical="center" wrapText="1"/>
    </xf>
    <xf numFmtId="1" fontId="9" fillId="2" borderId="1" xfId="0" applyNumberFormat="1" applyFont="1" applyFill="1" applyBorder="1" applyAlignment="1" applyProtection="1">
      <alignment horizontal="center" vertical="center"/>
    </xf>
    <xf numFmtId="2" fontId="9" fillId="0" borderId="0" xfId="0" applyNumberFormat="1" applyFont="1" applyBorder="1" applyAlignment="1">
      <alignment horizontal="left" vertical="center" wrapText="1"/>
    </xf>
    <xf numFmtId="1" fontId="9" fillId="0" borderId="0" xfId="0" applyNumberFormat="1" applyFont="1" applyBorder="1" applyAlignment="1">
      <alignment horizontal="left" vertical="center" wrapText="1"/>
    </xf>
    <xf numFmtId="2" fontId="27" fillId="15" borderId="0" xfId="3" applyFont="1" applyFill="1" applyBorder="1" applyAlignment="1">
      <alignment horizontal="center" vertical="center" wrapText="1"/>
      <protection locked="0"/>
    </xf>
    <xf numFmtId="166" fontId="9" fillId="2" borderId="20" xfId="0" applyNumberFormat="1" applyFont="1" applyFill="1" applyBorder="1" applyAlignment="1" applyProtection="1">
      <alignment horizontal="center" vertical="center" wrapText="1"/>
    </xf>
    <xf numFmtId="171" fontId="9" fillId="2" borderId="20" xfId="0" applyNumberFormat="1" applyFont="1" applyFill="1" applyBorder="1" applyAlignment="1" applyProtection="1">
      <alignment horizontal="center" vertical="center"/>
    </xf>
    <xf numFmtId="164" fontId="9" fillId="2" borderId="20" xfId="0" applyNumberFormat="1" applyFont="1" applyFill="1" applyBorder="1" applyAlignment="1" applyProtection="1">
      <alignment horizontal="center" vertical="center"/>
    </xf>
    <xf numFmtId="2" fontId="10" fillId="2" borderId="9" xfId="0" applyNumberFormat="1" applyFont="1" applyFill="1" applyBorder="1" applyAlignment="1" applyProtection="1">
      <alignment horizontal="center" vertical="center"/>
    </xf>
    <xf numFmtId="2" fontId="10" fillId="2" borderId="10" xfId="0" applyNumberFormat="1" applyFont="1" applyFill="1" applyBorder="1" applyAlignment="1" applyProtection="1">
      <alignment horizontal="center" vertical="center" wrapText="1"/>
    </xf>
    <xf numFmtId="2" fontId="13" fillId="2" borderId="11" xfId="0" applyNumberFormat="1" applyFont="1" applyFill="1" applyBorder="1" applyAlignment="1" applyProtection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2" fontId="7" fillId="0" borderId="0" xfId="0" applyNumberFormat="1" applyFont="1" applyAlignment="1">
      <alignment horizontal="left" vertical="justify" wrapText="1"/>
    </xf>
    <xf numFmtId="2" fontId="19" fillId="0" borderId="0" xfId="0" applyNumberFormat="1" applyFont="1" applyProtection="1">
      <protection hidden="1"/>
    </xf>
    <xf numFmtId="0" fontId="19" fillId="2" borderId="0" xfId="0" applyFont="1" applyFill="1" applyBorder="1" applyAlignment="1" applyProtection="1">
      <protection hidden="1"/>
    </xf>
    <xf numFmtId="0" fontId="19" fillId="2" borderId="0" xfId="0" applyFont="1" applyFill="1" applyBorder="1" applyAlignment="1" applyProtection="1">
      <alignment horizontal="center" vertical="center" wrapText="1"/>
      <protection hidden="1"/>
    </xf>
    <xf numFmtId="2" fontId="19" fillId="2" borderId="0" xfId="0" applyNumberFormat="1" applyFont="1" applyFill="1" applyBorder="1" applyAlignment="1" applyProtection="1">
      <alignment vertical="center" wrapText="1"/>
      <protection hidden="1"/>
    </xf>
    <xf numFmtId="0" fontId="19" fillId="0" borderId="0" xfId="0" applyFont="1" applyProtection="1">
      <protection hidden="1"/>
    </xf>
    <xf numFmtId="2" fontId="19" fillId="2" borderId="0" xfId="0" applyNumberFormat="1" applyFont="1" applyFill="1" applyBorder="1" applyProtection="1">
      <protection hidden="1"/>
    </xf>
    <xf numFmtId="2" fontId="19" fillId="0" borderId="0" xfId="0" applyNumberFormat="1" applyFont="1" applyFill="1" applyBorder="1" applyProtection="1">
      <protection hidden="1"/>
    </xf>
    <xf numFmtId="2" fontId="19" fillId="2" borderId="0" xfId="0" applyNumberFormat="1" applyFont="1" applyFill="1" applyProtection="1">
      <protection hidden="1"/>
    </xf>
    <xf numFmtId="2" fontId="20" fillId="0" borderId="0" xfId="2" applyNumberFormat="1" applyFont="1" applyFill="1" applyBorder="1" applyAlignment="1" applyProtection="1">
      <alignment horizontal="center" vertical="center"/>
      <protection hidden="1"/>
    </xf>
    <xf numFmtId="2" fontId="21" fillId="0" borderId="0" xfId="2" applyNumberFormat="1" applyFont="1" applyFill="1" applyBorder="1" applyAlignment="1" applyProtection="1">
      <alignment horizontal="center" vertical="center"/>
      <protection hidden="1"/>
    </xf>
    <xf numFmtId="2" fontId="20" fillId="0" borderId="0" xfId="2" applyNumberFormat="1" applyFont="1" applyFill="1" applyBorder="1" applyAlignment="1" applyProtection="1">
      <alignment horizontal="center" vertical="center" wrapText="1"/>
      <protection hidden="1"/>
    </xf>
    <xf numFmtId="2" fontId="21" fillId="0" borderId="0" xfId="2" applyNumberFormat="1" applyFont="1" applyFill="1" applyBorder="1" applyAlignment="1" applyProtection="1">
      <alignment vertical="center"/>
      <protection hidden="1"/>
    </xf>
    <xf numFmtId="2" fontId="21" fillId="0" borderId="0" xfId="2" applyNumberFormat="1" applyFont="1" applyFill="1" applyBorder="1" applyAlignment="1" applyProtection="1">
      <alignment vertical="center" wrapText="1"/>
      <protection hidden="1"/>
    </xf>
    <xf numFmtId="2" fontId="19" fillId="2" borderId="0" xfId="0" applyNumberFormat="1" applyFont="1" applyFill="1" applyBorder="1" applyAlignment="1" applyProtection="1">
      <alignment vertical="center"/>
      <protection hidden="1"/>
    </xf>
    <xf numFmtId="2" fontId="21" fillId="0" borderId="0" xfId="2" applyNumberFormat="1" applyFont="1" applyFill="1" applyBorder="1" applyAlignment="1" applyProtection="1">
      <protection hidden="1"/>
    </xf>
    <xf numFmtId="2" fontId="19" fillId="0" borderId="0" xfId="0" applyNumberFormat="1" applyFont="1" applyAlignment="1" applyProtection="1">
      <alignment vertical="center"/>
      <protection hidden="1"/>
    </xf>
    <xf numFmtId="2" fontId="21" fillId="0" borderId="0" xfId="2" applyNumberFormat="1" applyFont="1" applyFill="1" applyBorder="1" applyAlignment="1" applyProtection="1">
      <alignment horizontal="center"/>
      <protection hidden="1"/>
    </xf>
    <xf numFmtId="2" fontId="21" fillId="0" borderId="0" xfId="2" applyNumberFormat="1" applyFont="1" applyFill="1" applyBorder="1" applyProtection="1">
      <protection hidden="1"/>
    </xf>
    <xf numFmtId="2" fontId="20" fillId="0" borderId="0" xfId="2" applyNumberFormat="1" applyFont="1" applyFill="1" applyBorder="1" applyAlignment="1" applyProtection="1">
      <protection hidden="1"/>
    </xf>
    <xf numFmtId="2" fontId="20" fillId="0" borderId="0" xfId="2" applyNumberFormat="1" applyFont="1" applyFill="1" applyBorder="1" applyAlignment="1" applyProtection="1">
      <alignment vertical="center"/>
      <protection hidden="1"/>
    </xf>
    <xf numFmtId="2" fontId="19" fillId="0" borderId="0" xfId="0" applyNumberFormat="1" applyFont="1" applyFill="1" applyBorder="1" applyAlignment="1" applyProtection="1">
      <alignment vertical="center"/>
      <protection hidden="1"/>
    </xf>
    <xf numFmtId="2" fontId="20" fillId="6" borderId="18" xfId="2" applyNumberFormat="1" applyFont="1" applyFill="1" applyBorder="1" applyAlignment="1" applyProtection="1">
      <protection hidden="1"/>
    </xf>
    <xf numFmtId="2" fontId="20" fillId="6" borderId="20" xfId="2" applyNumberFormat="1" applyFont="1" applyFill="1" applyBorder="1" applyAlignment="1" applyProtection="1">
      <protection hidden="1"/>
    </xf>
    <xf numFmtId="2" fontId="21" fillId="6" borderId="20" xfId="2" applyNumberFormat="1" applyFont="1" applyFill="1" applyBorder="1" applyAlignment="1" applyProtection="1">
      <alignment horizontal="center"/>
      <protection hidden="1"/>
    </xf>
    <xf numFmtId="2" fontId="19" fillId="6" borderId="3" xfId="0" applyNumberFormat="1" applyFont="1" applyFill="1" applyBorder="1" applyAlignment="1" applyProtection="1">
      <alignment vertical="center"/>
      <protection hidden="1"/>
    </xf>
    <xf numFmtId="2" fontId="19" fillId="6" borderId="1" xfId="0" applyNumberFormat="1" applyFont="1" applyFill="1" applyBorder="1" applyAlignment="1" applyProtection="1">
      <alignment vertical="center"/>
      <protection hidden="1"/>
    </xf>
    <xf numFmtId="2" fontId="20" fillId="6" borderId="3" xfId="2" applyNumberFormat="1" applyFont="1" applyFill="1" applyBorder="1" applyAlignment="1" applyProtection="1">
      <alignment vertical="center" wrapText="1"/>
      <protection hidden="1"/>
    </xf>
    <xf numFmtId="2" fontId="20" fillId="6" borderId="1" xfId="2" applyNumberFormat="1" applyFont="1" applyFill="1" applyBorder="1" applyAlignment="1" applyProtection="1">
      <alignment vertical="center" wrapText="1"/>
      <protection hidden="1"/>
    </xf>
    <xf numFmtId="2" fontId="20" fillId="6" borderId="27" xfId="2" applyNumberFormat="1" applyFont="1" applyFill="1" applyBorder="1" applyAlignment="1" applyProtection="1">
      <alignment horizontal="center"/>
      <protection hidden="1"/>
    </xf>
    <xf numFmtId="2" fontId="20" fillId="6" borderId="31" xfId="2" applyNumberFormat="1" applyFont="1" applyFill="1" applyBorder="1" applyAlignment="1" applyProtection="1">
      <alignment horizontal="center"/>
      <protection hidden="1"/>
    </xf>
    <xf numFmtId="2" fontId="19" fillId="6" borderId="20" xfId="0" applyNumberFormat="1" applyFont="1" applyFill="1" applyBorder="1" applyAlignment="1" applyProtection="1">
      <alignment vertical="center"/>
      <protection hidden="1"/>
    </xf>
    <xf numFmtId="2" fontId="19" fillId="6" borderId="27" xfId="0" applyNumberFormat="1" applyFont="1" applyFill="1" applyBorder="1" applyAlignment="1" applyProtection="1">
      <alignment vertical="center"/>
      <protection hidden="1"/>
    </xf>
    <xf numFmtId="177" fontId="20" fillId="0" borderId="0" xfId="2" applyNumberFormat="1" applyFont="1" applyFill="1" applyBorder="1" applyAlignment="1" applyProtection="1">
      <protection hidden="1"/>
    </xf>
    <xf numFmtId="2" fontId="19" fillId="6" borderId="1" xfId="0" applyNumberFormat="1" applyFont="1" applyFill="1" applyBorder="1" applyAlignment="1" applyProtection="1">
      <alignment horizontal="center" vertical="center"/>
      <protection hidden="1"/>
    </xf>
    <xf numFmtId="2" fontId="5" fillId="6" borderId="1" xfId="0" applyNumberFormat="1" applyFont="1" applyFill="1" applyBorder="1" applyAlignment="1" applyProtection="1">
      <alignment horizontal="center" vertical="center" wrapText="1"/>
      <protection hidden="1"/>
    </xf>
    <xf numFmtId="2" fontId="19" fillId="6" borderId="20" xfId="0" applyNumberFormat="1" applyFont="1" applyFill="1" applyBorder="1" applyAlignment="1" applyProtection="1">
      <alignment horizontal="center" vertical="center"/>
      <protection hidden="1"/>
    </xf>
    <xf numFmtId="2" fontId="21" fillId="0" borderId="0" xfId="2" applyNumberFormat="1" applyFont="1" applyFill="1" applyBorder="1" applyAlignment="1" applyProtection="1">
      <alignment horizontal="right" vertical="center"/>
      <protection hidden="1"/>
    </xf>
    <xf numFmtId="1" fontId="19" fillId="0" borderId="0" xfId="0" applyNumberFormat="1" applyFont="1" applyAlignment="1" applyProtection="1">
      <alignment horizontal="left" vertical="center"/>
      <protection hidden="1"/>
    </xf>
    <xf numFmtId="2" fontId="19" fillId="6" borderId="34" xfId="0" applyNumberFormat="1" applyFont="1" applyFill="1" applyBorder="1" applyAlignment="1" applyProtection="1">
      <alignment horizontal="center" vertical="center" wrapText="1"/>
      <protection hidden="1"/>
    </xf>
    <xf numFmtId="2" fontId="25" fillId="0" borderId="0" xfId="0" applyNumberFormat="1" applyFont="1" applyFill="1" applyBorder="1" applyAlignment="1" applyProtection="1">
      <alignment vertical="center" wrapText="1"/>
      <protection hidden="1"/>
    </xf>
    <xf numFmtId="2" fontId="25" fillId="6" borderId="20" xfId="0" applyNumberFormat="1" applyFont="1" applyFill="1" applyBorder="1" applyAlignment="1" applyProtection="1">
      <alignment horizontal="center" vertical="center"/>
      <protection hidden="1"/>
    </xf>
    <xf numFmtId="2" fontId="25" fillId="6" borderId="20" xfId="0" applyNumberFormat="1" applyFont="1" applyFill="1" applyBorder="1" applyAlignment="1" applyProtection="1">
      <alignment horizontal="center" vertical="center" wrapText="1"/>
      <protection hidden="1"/>
    </xf>
    <xf numFmtId="2" fontId="4" fillId="6" borderId="20" xfId="0" applyNumberFormat="1" applyFont="1" applyFill="1" applyBorder="1" applyAlignment="1" applyProtection="1">
      <alignment horizontal="center" vertical="center" wrapText="1"/>
      <protection hidden="1"/>
    </xf>
    <xf numFmtId="2" fontId="19" fillId="6" borderId="37" xfId="0" applyNumberFormat="1" applyFont="1" applyFill="1" applyBorder="1" applyAlignment="1" applyProtection="1">
      <alignment horizontal="center" vertical="center"/>
      <protection hidden="1"/>
    </xf>
    <xf numFmtId="1" fontId="25" fillId="6" borderId="20" xfId="0" applyNumberFormat="1" applyFont="1" applyFill="1" applyBorder="1" applyAlignment="1" applyProtection="1">
      <alignment horizontal="center" vertical="center"/>
      <protection hidden="1"/>
    </xf>
    <xf numFmtId="2" fontId="25" fillId="6" borderId="1" xfId="0" applyNumberFormat="1" applyFont="1" applyFill="1" applyBorder="1" applyAlignment="1" applyProtection="1">
      <alignment horizontal="center" vertical="center"/>
      <protection hidden="1"/>
    </xf>
    <xf numFmtId="1" fontId="25" fillId="6" borderId="1" xfId="0" applyNumberFormat="1" applyFont="1" applyFill="1" applyBorder="1" applyAlignment="1" applyProtection="1">
      <alignment horizontal="center" vertical="center" wrapText="1"/>
      <protection hidden="1"/>
    </xf>
    <xf numFmtId="2" fontId="25" fillId="6" borderId="1" xfId="0" applyNumberFormat="1" applyFont="1" applyFill="1" applyBorder="1" applyAlignment="1" applyProtection="1">
      <alignment horizontal="center" vertical="center" wrapText="1"/>
      <protection hidden="1"/>
    </xf>
    <xf numFmtId="171" fontId="25" fillId="9" borderId="1" xfId="0" applyNumberFormat="1" applyFont="1" applyFill="1" applyBorder="1" applyAlignment="1" applyProtection="1">
      <alignment horizontal="center" vertical="center"/>
      <protection hidden="1"/>
    </xf>
    <xf numFmtId="2" fontId="25" fillId="6" borderId="1" xfId="0" applyNumberFormat="1" applyFont="1" applyFill="1" applyBorder="1" applyAlignment="1" applyProtection="1">
      <alignment horizontal="center" wrapText="1"/>
      <protection hidden="1"/>
    </xf>
    <xf numFmtId="2" fontId="25" fillId="9" borderId="1" xfId="0" applyNumberFormat="1" applyFont="1" applyFill="1" applyBorder="1" applyAlignment="1" applyProtection="1">
      <alignment horizontal="center" vertical="center"/>
      <protection hidden="1"/>
    </xf>
    <xf numFmtId="171" fontId="19" fillId="2" borderId="0" xfId="0" applyNumberFormat="1" applyFont="1" applyFill="1" applyBorder="1" applyProtection="1">
      <protection hidden="1"/>
    </xf>
    <xf numFmtId="2" fontId="19" fillId="0" borderId="0" xfId="0" applyNumberFormat="1" applyFont="1" applyFill="1" applyProtection="1">
      <protection hidden="1"/>
    </xf>
    <xf numFmtId="1" fontId="19" fillId="6" borderId="1" xfId="0" applyNumberFormat="1" applyFont="1" applyFill="1" applyBorder="1" applyAlignment="1" applyProtection="1">
      <alignment horizontal="center" vertical="center"/>
      <protection hidden="1"/>
    </xf>
    <xf numFmtId="1" fontId="19" fillId="6" borderId="20" xfId="0" applyNumberFormat="1" applyFont="1" applyFill="1" applyBorder="1" applyAlignment="1" applyProtection="1">
      <alignment horizontal="center" vertical="center"/>
      <protection hidden="1"/>
    </xf>
    <xf numFmtId="1" fontId="19" fillId="6" borderId="1" xfId="0" applyNumberFormat="1" applyFont="1" applyFill="1" applyBorder="1" applyAlignment="1" applyProtection="1">
      <alignment horizontal="center" vertical="center" wrapText="1"/>
      <protection hidden="1"/>
    </xf>
    <xf numFmtId="2" fontId="19" fillId="6" borderId="1" xfId="0" applyNumberFormat="1" applyFont="1" applyFill="1" applyBorder="1" applyAlignment="1" applyProtection="1">
      <alignment horizontal="center" vertical="center" wrapText="1"/>
      <protection hidden="1"/>
    </xf>
    <xf numFmtId="2" fontId="22" fillId="0" borderId="0" xfId="0" applyNumberFormat="1" applyFont="1" applyFill="1" applyBorder="1" applyAlignment="1" applyProtection="1">
      <alignment vertical="center"/>
      <protection hidden="1"/>
    </xf>
    <xf numFmtId="2" fontId="19" fillId="9" borderId="1" xfId="0" applyNumberFormat="1" applyFont="1" applyFill="1" applyBorder="1" applyAlignment="1" applyProtection="1">
      <alignment horizontal="center" vertical="center"/>
      <protection hidden="1"/>
    </xf>
    <xf numFmtId="169" fontId="19" fillId="9" borderId="1" xfId="0" applyNumberFormat="1" applyFont="1" applyFill="1" applyBorder="1" applyAlignment="1" applyProtection="1">
      <alignment horizontal="center" vertical="center"/>
      <protection hidden="1"/>
    </xf>
    <xf numFmtId="164" fontId="19" fillId="9" borderId="1" xfId="0" applyNumberFormat="1" applyFont="1" applyFill="1" applyBorder="1" applyAlignment="1" applyProtection="1">
      <alignment horizontal="center" vertical="center"/>
      <protection hidden="1"/>
    </xf>
    <xf numFmtId="2" fontId="19" fillId="0" borderId="0" xfId="0" applyNumberFormat="1" applyFont="1" applyBorder="1" applyProtection="1">
      <protection hidden="1"/>
    </xf>
    <xf numFmtId="2" fontId="19" fillId="6" borderId="20" xfId="0" applyNumberFormat="1" applyFont="1" applyFill="1" applyBorder="1" applyAlignment="1" applyProtection="1">
      <alignment horizontal="center" vertical="center" wrapText="1"/>
      <protection hidden="1"/>
    </xf>
    <xf numFmtId="2" fontId="19" fillId="6" borderId="20" xfId="0" applyNumberFormat="1" applyFont="1" applyFill="1" applyBorder="1" applyAlignment="1" applyProtection="1">
      <alignment horizontal="left" vertical="center"/>
      <protection hidden="1"/>
    </xf>
    <xf numFmtId="166" fontId="19" fillId="6" borderId="1" xfId="0" applyNumberFormat="1" applyFont="1" applyFill="1" applyBorder="1" applyAlignment="1" applyProtection="1">
      <alignment horizontal="center" vertical="center"/>
      <protection hidden="1"/>
    </xf>
    <xf numFmtId="166" fontId="19" fillId="9" borderId="1" xfId="0" applyNumberFormat="1" applyFont="1" applyFill="1" applyBorder="1" applyAlignment="1" applyProtection="1">
      <alignment horizontal="center" vertical="center"/>
      <protection hidden="1"/>
    </xf>
    <xf numFmtId="165" fontId="19" fillId="9" borderId="1" xfId="0" applyNumberFormat="1" applyFont="1" applyFill="1" applyBorder="1" applyAlignment="1" applyProtection="1">
      <alignment horizontal="center" vertical="center"/>
      <protection hidden="1"/>
    </xf>
    <xf numFmtId="169" fontId="19" fillId="6" borderId="1" xfId="0" applyNumberFormat="1" applyFont="1" applyFill="1" applyBorder="1" applyAlignment="1" applyProtection="1">
      <alignment horizontal="center" vertical="center"/>
      <protection hidden="1"/>
    </xf>
    <xf numFmtId="2" fontId="19" fillId="10" borderId="1" xfId="0" applyNumberFormat="1" applyFont="1" applyFill="1" applyBorder="1" applyAlignment="1" applyProtection="1">
      <alignment horizontal="center" vertical="center"/>
      <protection hidden="1"/>
    </xf>
    <xf numFmtId="2" fontId="19" fillId="0" borderId="20" xfId="0" applyNumberFormat="1" applyFont="1" applyBorder="1" applyProtection="1">
      <protection hidden="1"/>
    </xf>
    <xf numFmtId="2" fontId="19" fillId="0" borderId="0" xfId="0" applyNumberFormat="1" applyFont="1" applyFill="1" applyBorder="1" applyAlignment="1" applyProtection="1">
      <alignment horizontal="center" vertical="center"/>
      <protection hidden="1"/>
    </xf>
    <xf numFmtId="171" fontId="19" fillId="9" borderId="1" xfId="0" applyNumberFormat="1" applyFont="1" applyFill="1" applyBorder="1" applyAlignment="1" applyProtection="1">
      <alignment horizontal="center" vertical="center"/>
      <protection hidden="1"/>
    </xf>
    <xf numFmtId="169" fontId="19" fillId="0" borderId="0" xfId="0" applyNumberFormat="1" applyFont="1" applyFill="1" applyBorder="1" applyProtection="1">
      <protection hidden="1"/>
    </xf>
    <xf numFmtId="2" fontId="21" fillId="6" borderId="20" xfId="0" applyNumberFormat="1" applyFont="1" applyFill="1" applyBorder="1" applyAlignment="1" applyProtection="1">
      <alignment horizontal="center" vertical="center"/>
      <protection hidden="1"/>
    </xf>
    <xf numFmtId="2" fontId="26" fillId="3" borderId="9" xfId="0" applyNumberFormat="1" applyFont="1" applyFill="1" applyBorder="1" applyAlignment="1" applyProtection="1">
      <alignment horizontal="center" vertical="center"/>
      <protection hidden="1"/>
    </xf>
    <xf numFmtId="2" fontId="27" fillId="3" borderId="11" xfId="0" applyNumberFormat="1" applyFont="1" applyFill="1" applyBorder="1" applyAlignment="1" applyProtection="1">
      <alignment horizontal="center" vertical="center" wrapText="1"/>
      <protection hidden="1"/>
    </xf>
    <xf numFmtId="169" fontId="21" fillId="9" borderId="1" xfId="0" applyNumberFormat="1" applyFont="1" applyFill="1" applyBorder="1" applyAlignment="1" applyProtection="1">
      <alignment horizontal="center" vertical="center"/>
      <protection hidden="1"/>
    </xf>
    <xf numFmtId="2" fontId="21" fillId="9" borderId="20" xfId="0" applyNumberFormat="1" applyFont="1" applyFill="1" applyBorder="1" applyAlignment="1" applyProtection="1">
      <alignment horizontal="center"/>
      <protection hidden="1"/>
    </xf>
    <xf numFmtId="1" fontId="21" fillId="9" borderId="20" xfId="0" applyNumberFormat="1" applyFont="1" applyFill="1" applyBorder="1" applyAlignment="1" applyProtection="1">
      <alignment horizontal="center"/>
      <protection hidden="1"/>
    </xf>
    <xf numFmtId="2" fontId="21" fillId="9" borderId="1" xfId="0" applyNumberFormat="1" applyFont="1" applyFill="1" applyBorder="1" applyAlignment="1" applyProtection="1">
      <alignment horizontal="center"/>
      <protection hidden="1"/>
    </xf>
    <xf numFmtId="1" fontId="21" fillId="9" borderId="1" xfId="0" applyNumberFormat="1" applyFont="1" applyFill="1" applyBorder="1" applyAlignment="1" applyProtection="1">
      <alignment horizontal="center"/>
      <protection hidden="1"/>
    </xf>
    <xf numFmtId="166" fontId="20" fillId="9" borderId="33" xfId="0" applyNumberFormat="1" applyFont="1" applyFill="1" applyBorder="1" applyAlignment="1" applyProtection="1">
      <alignment horizontal="center" vertical="center"/>
      <protection hidden="1"/>
    </xf>
    <xf numFmtId="167" fontId="21" fillId="9" borderId="20" xfId="0" applyNumberFormat="1" applyFont="1" applyFill="1" applyBorder="1" applyAlignment="1" applyProtection="1">
      <alignment horizontal="center" vertical="center"/>
      <protection hidden="1"/>
    </xf>
    <xf numFmtId="167" fontId="21" fillId="9" borderId="1" xfId="0" applyNumberFormat="1" applyFont="1" applyFill="1" applyBorder="1" applyAlignment="1" applyProtection="1">
      <alignment horizontal="center" vertical="center"/>
      <protection hidden="1"/>
    </xf>
    <xf numFmtId="167" fontId="20" fillId="9" borderId="33" xfId="0" applyNumberFormat="1" applyFont="1" applyFill="1" applyBorder="1" applyAlignment="1" applyProtection="1">
      <alignment horizontal="center" vertical="center"/>
      <protection hidden="1"/>
    </xf>
    <xf numFmtId="2" fontId="21" fillId="6" borderId="2" xfId="0" applyNumberFormat="1" applyFont="1" applyFill="1" applyBorder="1" applyProtection="1">
      <protection hidden="1"/>
    </xf>
    <xf numFmtId="2" fontId="21" fillId="6" borderId="19" xfId="0" applyNumberFormat="1" applyFont="1" applyFill="1" applyBorder="1" applyAlignment="1" applyProtection="1">
      <alignment horizontal="center" vertical="center"/>
      <protection hidden="1"/>
    </xf>
    <xf numFmtId="2" fontId="19" fillId="6" borderId="19" xfId="0" applyNumberFormat="1" applyFont="1" applyFill="1" applyBorder="1" applyAlignment="1" applyProtection="1">
      <alignment horizontal="center" vertical="center"/>
      <protection hidden="1"/>
    </xf>
    <xf numFmtId="165" fontId="28" fillId="3" borderId="52" xfId="0" applyNumberFormat="1" applyFont="1" applyFill="1" applyBorder="1" applyAlignment="1" applyProtection="1">
      <alignment horizontal="center" vertical="center"/>
      <protection hidden="1"/>
    </xf>
    <xf numFmtId="165" fontId="28" fillId="3" borderId="53" xfId="0" applyNumberFormat="1" applyFont="1" applyFill="1" applyBorder="1" applyAlignment="1" applyProtection="1">
      <alignment horizontal="center" vertical="center"/>
      <protection hidden="1"/>
    </xf>
    <xf numFmtId="165" fontId="28" fillId="3" borderId="54" xfId="0" applyNumberFormat="1" applyFont="1" applyFill="1" applyBorder="1" applyAlignment="1" applyProtection="1">
      <alignment horizontal="center" vertical="center"/>
      <protection hidden="1"/>
    </xf>
    <xf numFmtId="2" fontId="25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25" fillId="0" borderId="25" xfId="0" applyNumberFormat="1" applyFont="1" applyFill="1" applyBorder="1" applyAlignment="1" applyProtection="1">
      <alignment vertical="center" wrapText="1"/>
      <protection hidden="1"/>
    </xf>
    <xf numFmtId="1" fontId="19" fillId="9" borderId="1" xfId="0" applyNumberFormat="1" applyFont="1" applyFill="1" applyBorder="1" applyAlignment="1" applyProtection="1">
      <alignment horizontal="center" vertical="center"/>
      <protection hidden="1"/>
    </xf>
    <xf numFmtId="1" fontId="19" fillId="9" borderId="3" xfId="0" applyNumberFormat="1" applyFont="1" applyFill="1" applyBorder="1" applyAlignment="1" applyProtection="1">
      <alignment horizontal="center" vertical="center"/>
      <protection hidden="1"/>
    </xf>
    <xf numFmtId="2" fontId="25" fillId="6" borderId="2" xfId="0" applyNumberFormat="1" applyFont="1" applyFill="1" applyBorder="1" applyAlignment="1" applyProtection="1">
      <alignment vertical="center" wrapText="1"/>
      <protection hidden="1"/>
    </xf>
    <xf numFmtId="2" fontId="19" fillId="6" borderId="19" xfId="0" applyNumberFormat="1" applyFont="1" applyFill="1" applyBorder="1" applyProtection="1">
      <protection hidden="1"/>
    </xf>
    <xf numFmtId="2" fontId="25" fillId="6" borderId="3" xfId="0" applyNumberFormat="1" applyFont="1" applyFill="1" applyBorder="1" applyAlignment="1" applyProtection="1">
      <alignment horizontal="left" vertical="center" wrapText="1"/>
      <protection hidden="1"/>
    </xf>
    <xf numFmtId="165" fontId="25" fillId="9" borderId="29" xfId="0" applyNumberFormat="1" applyFont="1" applyFill="1" applyBorder="1" applyAlignment="1" applyProtection="1">
      <alignment horizontal="center" vertical="center"/>
      <protection hidden="1"/>
    </xf>
    <xf numFmtId="165" fontId="25" fillId="9" borderId="33" xfId="0" applyNumberFormat="1" applyFont="1" applyFill="1" applyBorder="1" applyAlignment="1" applyProtection="1">
      <alignment horizontal="center" vertical="center"/>
      <protection hidden="1"/>
    </xf>
    <xf numFmtId="1" fontId="19" fillId="9" borderId="18" xfId="0" applyNumberFormat="1" applyFont="1" applyFill="1" applyBorder="1" applyAlignment="1" applyProtection="1">
      <alignment horizontal="center" vertical="center"/>
      <protection hidden="1"/>
    </xf>
    <xf numFmtId="1" fontId="19" fillId="9" borderId="20" xfId="0" applyNumberFormat="1" applyFont="1" applyFill="1" applyBorder="1" applyAlignment="1" applyProtection="1">
      <alignment horizontal="center" vertical="center"/>
      <protection hidden="1"/>
    </xf>
    <xf numFmtId="165" fontId="20" fillId="9" borderId="18" xfId="0" applyNumberFormat="1" applyFont="1" applyFill="1" applyBorder="1" applyAlignment="1" applyProtection="1">
      <alignment horizontal="center" vertical="center"/>
      <protection hidden="1"/>
    </xf>
    <xf numFmtId="165" fontId="20" fillId="9" borderId="20" xfId="0" applyNumberFormat="1" applyFont="1" applyFill="1" applyBorder="1" applyAlignment="1" applyProtection="1">
      <alignment horizontal="center" vertical="center"/>
      <protection hidden="1"/>
    </xf>
    <xf numFmtId="2" fontId="25" fillId="6" borderId="19" xfId="0" applyNumberFormat="1" applyFont="1" applyFill="1" applyBorder="1" applyAlignment="1" applyProtection="1">
      <alignment vertical="center" wrapText="1"/>
      <protection hidden="1"/>
    </xf>
    <xf numFmtId="2" fontId="19" fillId="6" borderId="3" xfId="0" applyNumberFormat="1" applyFont="1" applyFill="1" applyBorder="1" applyAlignment="1" applyProtection="1">
      <alignment horizontal="center" vertical="center"/>
      <protection hidden="1"/>
    </xf>
    <xf numFmtId="167" fontId="20" fillId="9" borderId="20" xfId="0" applyNumberFormat="1" applyFont="1" applyFill="1" applyBorder="1" applyAlignment="1" applyProtection="1">
      <alignment horizontal="center" vertical="center"/>
      <protection hidden="1"/>
    </xf>
    <xf numFmtId="10" fontId="20" fillId="9" borderId="3" xfId="1" applyNumberFormat="1" applyFont="1" applyFill="1" applyBorder="1" applyAlignment="1" applyProtection="1">
      <alignment horizontal="center" vertical="center"/>
      <protection hidden="1"/>
    </xf>
    <xf numFmtId="2" fontId="2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21" fillId="0" borderId="0" xfId="0" applyNumberFormat="1" applyFont="1" applyFill="1" applyBorder="1" applyAlignment="1" applyProtection="1">
      <alignment horizontal="center" vertical="center"/>
      <protection hidden="1"/>
    </xf>
    <xf numFmtId="2" fontId="26" fillId="3" borderId="0" xfId="0" applyNumberFormat="1" applyFont="1" applyFill="1" applyBorder="1" applyAlignment="1" applyProtection="1">
      <alignment vertical="center"/>
      <protection hidden="1"/>
    </xf>
    <xf numFmtId="1" fontId="20" fillId="10" borderId="1" xfId="0" applyNumberFormat="1" applyFont="1" applyFill="1" applyBorder="1" applyAlignment="1" applyProtection="1">
      <alignment horizontal="center" vertical="center" wrapText="1"/>
      <protection hidden="1"/>
    </xf>
    <xf numFmtId="2" fontId="21" fillId="0" borderId="0" xfId="0" applyNumberFormat="1" applyFont="1" applyFill="1" applyBorder="1" applyProtection="1">
      <protection hidden="1"/>
    </xf>
    <xf numFmtId="2" fontId="30" fillId="6" borderId="27" xfId="0" applyNumberFormat="1" applyFont="1" applyFill="1" applyBorder="1" applyAlignment="1" applyProtection="1">
      <alignment horizontal="center" vertical="center"/>
      <protection hidden="1"/>
    </xf>
    <xf numFmtId="2" fontId="30" fillId="6" borderId="31" xfId="0" applyNumberFormat="1" applyFont="1" applyFill="1" applyBorder="1" applyAlignment="1" applyProtection="1">
      <alignment horizontal="centerContinuous" vertical="center" wrapText="1"/>
      <protection hidden="1"/>
    </xf>
    <xf numFmtId="2" fontId="30" fillId="6" borderId="30" xfId="0" applyNumberFormat="1" applyFont="1" applyFill="1" applyBorder="1" applyAlignment="1" applyProtection="1">
      <alignment horizontal="centerContinuous" vertical="center" wrapText="1"/>
      <protection hidden="1"/>
    </xf>
    <xf numFmtId="2" fontId="19" fillId="6" borderId="20" xfId="0" applyNumberFormat="1" applyFont="1" applyFill="1" applyBorder="1" applyProtection="1">
      <protection hidden="1"/>
    </xf>
    <xf numFmtId="2" fontId="19" fillId="6" borderId="17" xfId="0" applyNumberFormat="1" applyFont="1" applyFill="1" applyBorder="1" applyAlignment="1" applyProtection="1">
      <alignment horizontal="centerContinuous"/>
      <protection hidden="1"/>
    </xf>
    <xf numFmtId="2" fontId="19" fillId="6" borderId="18" xfId="0" applyNumberFormat="1" applyFont="1" applyFill="1" applyBorder="1" applyAlignment="1" applyProtection="1">
      <alignment horizontal="centerContinuous"/>
      <protection hidden="1"/>
    </xf>
    <xf numFmtId="174" fontId="19" fillId="9" borderId="1" xfId="0" applyNumberFormat="1" applyFont="1" applyFill="1" applyBorder="1" applyAlignment="1" applyProtection="1">
      <alignment horizontal="center" vertical="center" wrapText="1"/>
      <protection hidden="1"/>
    </xf>
    <xf numFmtId="174" fontId="19" fillId="9" borderId="2" xfId="1" applyNumberFormat="1" applyFont="1" applyFill="1" applyBorder="1" applyAlignment="1" applyProtection="1">
      <alignment vertical="center" wrapText="1"/>
      <protection hidden="1"/>
    </xf>
    <xf numFmtId="174" fontId="19" fillId="9" borderId="3" xfId="1" applyNumberFormat="1" applyFont="1" applyFill="1" applyBorder="1" applyAlignment="1" applyProtection="1">
      <alignment vertical="center" wrapText="1"/>
      <protection hidden="1"/>
    </xf>
    <xf numFmtId="174" fontId="19" fillId="9" borderId="1" xfId="1" applyNumberFormat="1" applyFont="1" applyFill="1" applyBorder="1" applyAlignment="1" applyProtection="1">
      <alignment horizontal="center" vertical="center" wrapText="1"/>
      <protection hidden="1"/>
    </xf>
    <xf numFmtId="174" fontId="19" fillId="9" borderId="3" xfId="0" applyNumberFormat="1" applyFont="1" applyFill="1" applyBorder="1" applyAlignment="1" applyProtection="1">
      <alignment vertical="center" wrapText="1"/>
      <protection hidden="1"/>
    </xf>
    <xf numFmtId="174" fontId="22" fillId="9" borderId="3" xfId="0" applyNumberFormat="1" applyFont="1" applyFill="1" applyBorder="1" applyAlignment="1" applyProtection="1">
      <alignment vertical="center" wrapText="1"/>
      <protection hidden="1"/>
    </xf>
    <xf numFmtId="174" fontId="25" fillId="9" borderId="1" xfId="0" applyNumberFormat="1" applyFont="1" applyFill="1" applyBorder="1" applyProtection="1">
      <protection hidden="1"/>
    </xf>
    <xf numFmtId="173" fontId="19" fillId="2" borderId="0" xfId="0" applyNumberFormat="1" applyFont="1" applyFill="1" applyBorder="1" applyProtection="1">
      <protection hidden="1"/>
    </xf>
    <xf numFmtId="2" fontId="33" fillId="3" borderId="0" xfId="0" applyNumberFormat="1" applyFont="1" applyFill="1" applyBorder="1" applyAlignment="1" applyProtection="1">
      <alignment horizontal="left" vertical="center"/>
      <protection hidden="1"/>
    </xf>
    <xf numFmtId="2" fontId="26" fillId="3" borderId="0" xfId="0" applyNumberFormat="1" applyFont="1" applyFill="1" applyBorder="1" applyProtection="1">
      <protection hidden="1"/>
    </xf>
    <xf numFmtId="2" fontId="33" fillId="3" borderId="0" xfId="0" applyNumberFormat="1" applyFont="1" applyFill="1" applyBorder="1" applyAlignment="1" applyProtection="1">
      <alignment horizontal="center" vertical="top"/>
      <protection hidden="1"/>
    </xf>
    <xf numFmtId="2" fontId="33" fillId="3" borderId="0" xfId="0" applyNumberFormat="1" applyFont="1" applyFill="1" applyBorder="1" applyAlignment="1" applyProtection="1">
      <alignment horizontal="center" vertical="center"/>
      <protection hidden="1"/>
    </xf>
    <xf numFmtId="2" fontId="33" fillId="3" borderId="0" xfId="0" applyNumberFormat="1" applyFont="1" applyFill="1" applyBorder="1" applyAlignment="1" applyProtection="1">
      <alignment horizontal="right" vertical="center"/>
      <protection hidden="1"/>
    </xf>
    <xf numFmtId="2" fontId="30" fillId="6" borderId="19" xfId="0" applyNumberFormat="1" applyFont="1" applyFill="1" applyBorder="1" applyAlignment="1" applyProtection="1">
      <alignment horizontal="center" vertical="center"/>
      <protection hidden="1"/>
    </xf>
    <xf numFmtId="174" fontId="19" fillId="9" borderId="1" xfId="0" applyNumberFormat="1" applyFont="1" applyFill="1" applyBorder="1" applyAlignment="1" applyProtection="1">
      <alignment horizontal="center" vertical="center"/>
      <protection hidden="1"/>
    </xf>
    <xf numFmtId="2" fontId="26" fillId="3" borderId="0" xfId="0" applyNumberFormat="1" applyFont="1" applyFill="1" applyBorder="1" applyAlignment="1" applyProtection="1">
      <alignment horizontal="center" vertical="center"/>
      <protection hidden="1"/>
    </xf>
    <xf numFmtId="2" fontId="33" fillId="3" borderId="0" xfId="0" applyNumberFormat="1" applyFont="1" applyFill="1" applyBorder="1" applyAlignment="1" applyProtection="1">
      <alignment horizontal="center" wrapText="1"/>
      <protection hidden="1"/>
    </xf>
    <xf numFmtId="1" fontId="37" fillId="9" borderId="1" xfId="0" applyNumberFormat="1" applyFont="1" applyFill="1" applyBorder="1" applyAlignment="1" applyProtection="1">
      <alignment horizontal="center" vertical="center"/>
      <protection hidden="1"/>
    </xf>
    <xf numFmtId="2" fontId="19" fillId="11" borderId="19" xfId="0" applyNumberFormat="1" applyFont="1" applyFill="1" applyBorder="1" applyAlignment="1" applyProtection="1">
      <alignment horizontal="center" vertical="center"/>
      <protection hidden="1"/>
    </xf>
    <xf numFmtId="172" fontId="19" fillId="9" borderId="1" xfId="0" applyNumberFormat="1" applyFont="1" applyFill="1" applyBorder="1" applyAlignment="1" applyProtection="1">
      <alignment horizontal="left" vertical="center"/>
      <protection hidden="1"/>
    </xf>
    <xf numFmtId="2" fontId="30" fillId="6" borderId="33" xfId="0" applyNumberFormat="1" applyFont="1" applyFill="1" applyBorder="1" applyAlignment="1" applyProtection="1">
      <alignment horizontal="left" vertical="center"/>
      <protection hidden="1"/>
    </xf>
    <xf numFmtId="2" fontId="30" fillId="6" borderId="1" xfId="0" applyNumberFormat="1" applyFont="1" applyFill="1" applyBorder="1" applyAlignment="1" applyProtection="1">
      <alignment horizontal="center" vertical="center" wrapText="1"/>
      <protection hidden="1"/>
    </xf>
    <xf numFmtId="2" fontId="39" fillId="6" borderId="1" xfId="0" applyNumberFormat="1" applyFont="1" applyFill="1" applyBorder="1" applyAlignment="1" applyProtection="1">
      <alignment horizontal="center" vertical="center" wrapText="1"/>
      <protection hidden="1"/>
    </xf>
    <xf numFmtId="2" fontId="19" fillId="0" borderId="1" xfId="0" applyNumberFormat="1" applyFont="1" applyFill="1" applyBorder="1" applyAlignment="1" applyProtection="1">
      <alignment horizontal="center" vertical="center"/>
      <protection hidden="1"/>
    </xf>
    <xf numFmtId="1" fontId="19" fillId="9" borderId="38" xfId="0" applyNumberFormat="1" applyFont="1" applyFill="1" applyBorder="1" applyAlignment="1" applyProtection="1">
      <alignment horizontal="center" vertical="center"/>
      <protection hidden="1"/>
    </xf>
    <xf numFmtId="164" fontId="19" fillId="9" borderId="38" xfId="0" applyNumberFormat="1" applyFont="1" applyFill="1" applyBorder="1" applyAlignment="1" applyProtection="1">
      <alignment horizontal="center" vertical="center"/>
      <protection hidden="1"/>
    </xf>
    <xf numFmtId="1" fontId="19" fillId="9" borderId="36" xfId="0" applyNumberFormat="1" applyFont="1" applyFill="1" applyBorder="1" applyAlignment="1" applyProtection="1">
      <alignment horizontal="center" vertical="center"/>
      <protection hidden="1"/>
    </xf>
    <xf numFmtId="164" fontId="19" fillId="9" borderId="36" xfId="0" applyNumberFormat="1" applyFont="1" applyFill="1" applyBorder="1" applyAlignment="1" applyProtection="1">
      <alignment horizontal="center" vertical="center"/>
      <protection hidden="1"/>
    </xf>
    <xf numFmtId="2" fontId="19" fillId="0" borderId="0" xfId="0" applyNumberFormat="1" applyFont="1" applyAlignment="1" applyProtection="1">
      <alignment horizontal="center"/>
      <protection hidden="1"/>
    </xf>
    <xf numFmtId="2" fontId="19" fillId="9" borderId="36" xfId="0" applyNumberFormat="1" applyFont="1" applyFill="1" applyBorder="1" applyAlignment="1" applyProtection="1">
      <alignment horizontal="center" vertical="center"/>
      <protection hidden="1"/>
    </xf>
    <xf numFmtId="2" fontId="19" fillId="2" borderId="0" xfId="0" applyNumberFormat="1" applyFont="1" applyFill="1" applyBorder="1" applyAlignment="1" applyProtection="1">
      <alignment horizontal="left" vertical="center"/>
      <protection hidden="1"/>
    </xf>
    <xf numFmtId="2" fontId="20" fillId="6" borderId="2" xfId="2" applyNumberFormat="1" applyFont="1" applyFill="1" applyBorder="1" applyAlignment="1" applyProtection="1">
      <alignment horizontal="center" vertical="center"/>
      <protection hidden="1"/>
    </xf>
    <xf numFmtId="2" fontId="20" fillId="6" borderId="3" xfId="2" applyNumberFormat="1" applyFont="1" applyFill="1" applyBorder="1" applyAlignment="1" applyProtection="1">
      <alignment horizontal="center" vertical="center"/>
      <protection hidden="1"/>
    </xf>
    <xf numFmtId="174" fontId="19" fillId="9" borderId="3" xfId="0" applyNumberFormat="1" applyFont="1" applyFill="1" applyBorder="1" applyAlignment="1" applyProtection="1">
      <alignment horizontal="center" vertical="center"/>
      <protection hidden="1"/>
    </xf>
    <xf numFmtId="0" fontId="3" fillId="6" borderId="1" xfId="2" applyFont="1" applyFill="1" applyBorder="1" applyAlignment="1" applyProtection="1">
      <alignment horizontal="center" vertical="center"/>
      <protection hidden="1"/>
    </xf>
    <xf numFmtId="11" fontId="19" fillId="2" borderId="0" xfId="0" applyNumberFormat="1" applyFont="1" applyFill="1" applyBorder="1" applyProtection="1">
      <protection hidden="1"/>
    </xf>
    <xf numFmtId="2" fontId="19" fillId="2" borderId="0" xfId="0" applyNumberFormat="1" applyFont="1" applyFill="1" applyBorder="1" applyAlignment="1" applyProtection="1">
      <alignment horizontal="center"/>
      <protection hidden="1"/>
    </xf>
    <xf numFmtId="14" fontId="5" fillId="9" borderId="52" xfId="0" applyNumberFormat="1" applyFont="1" applyFill="1" applyBorder="1" applyAlignment="1" applyProtection="1">
      <alignment horizontal="center" vertical="center" wrapText="1"/>
      <protection hidden="1"/>
    </xf>
    <xf numFmtId="0" fontId="19" fillId="9" borderId="1" xfId="0" applyFont="1" applyFill="1" applyBorder="1" applyAlignment="1" applyProtection="1">
      <alignment horizontal="center" vertical="center"/>
      <protection hidden="1"/>
    </xf>
    <xf numFmtId="2" fontId="29" fillId="6" borderId="9" xfId="2" applyNumberFormat="1" applyFont="1" applyFill="1" applyBorder="1" applyAlignment="1" applyProtection="1">
      <alignment horizontal="center" vertical="center" wrapText="1"/>
      <protection hidden="1"/>
    </xf>
    <xf numFmtId="2" fontId="29" fillId="6" borderId="10" xfId="2" applyNumberFormat="1" applyFont="1" applyFill="1" applyBorder="1" applyAlignment="1" applyProtection="1">
      <alignment horizontal="center" vertical="center" wrapText="1"/>
      <protection hidden="1"/>
    </xf>
    <xf numFmtId="2" fontId="4" fillId="6" borderId="10" xfId="0" applyNumberFormat="1" applyFont="1" applyFill="1" applyBorder="1" applyAlignment="1" applyProtection="1">
      <alignment horizontal="center" vertical="center" wrapText="1"/>
      <protection hidden="1"/>
    </xf>
    <xf numFmtId="2" fontId="29" fillId="6" borderId="51" xfId="2" applyNumberFormat="1" applyFont="1" applyFill="1" applyBorder="1" applyAlignment="1" applyProtection="1">
      <alignment horizontal="center" vertical="center" wrapText="1"/>
      <protection hidden="1"/>
    </xf>
    <xf numFmtId="2" fontId="7" fillId="6" borderId="1" xfId="0" applyNumberFormat="1" applyFont="1" applyFill="1" applyBorder="1" applyAlignment="1" applyProtection="1">
      <alignment horizontal="center" vertical="center"/>
      <protection hidden="1"/>
    </xf>
    <xf numFmtId="2" fontId="30" fillId="6" borderId="2" xfId="0" applyNumberFormat="1" applyFont="1" applyFill="1" applyBorder="1" applyAlignment="1" applyProtection="1">
      <alignment vertical="center"/>
      <protection hidden="1"/>
    </xf>
    <xf numFmtId="2" fontId="30" fillId="6" borderId="3" xfId="0" applyNumberFormat="1" applyFont="1" applyFill="1" applyBorder="1" applyAlignment="1" applyProtection="1">
      <alignment vertical="center"/>
      <protection hidden="1"/>
    </xf>
    <xf numFmtId="2" fontId="25" fillId="6" borderId="3" xfId="0" applyNumberFormat="1" applyFont="1" applyFill="1" applyBorder="1" applyAlignment="1" applyProtection="1">
      <alignment horizontal="centerContinuous" vertical="center"/>
      <protection hidden="1"/>
    </xf>
    <xf numFmtId="2" fontId="25" fillId="6" borderId="3" xfId="0" applyNumberFormat="1" applyFont="1" applyFill="1" applyBorder="1" applyAlignment="1" applyProtection="1">
      <alignment horizontal="center" vertical="center"/>
      <protection hidden="1"/>
    </xf>
    <xf numFmtId="1" fontId="20" fillId="17" borderId="1" xfId="0" applyNumberFormat="1" applyFont="1" applyFill="1" applyBorder="1" applyAlignment="1" applyProtection="1">
      <alignment horizontal="center" vertical="center" wrapText="1"/>
      <protection hidden="1"/>
    </xf>
    <xf numFmtId="164" fontId="19" fillId="17" borderId="1" xfId="0" applyNumberFormat="1" applyFont="1" applyFill="1" applyBorder="1" applyAlignment="1" applyProtection="1">
      <alignment horizontal="center" vertical="center"/>
      <protection hidden="1"/>
    </xf>
    <xf numFmtId="2" fontId="19" fillId="17" borderId="1" xfId="0" applyNumberFormat="1" applyFont="1" applyFill="1" applyBorder="1" applyAlignment="1" applyProtection="1">
      <alignment horizontal="center" vertical="center"/>
      <protection hidden="1"/>
    </xf>
    <xf numFmtId="1" fontId="19" fillId="17" borderId="1" xfId="0" applyNumberFormat="1" applyFont="1" applyFill="1" applyBorder="1" applyAlignment="1" applyProtection="1">
      <alignment horizontal="center" vertical="center"/>
      <protection hidden="1"/>
    </xf>
    <xf numFmtId="174" fontId="19" fillId="17" borderId="1" xfId="0" applyNumberFormat="1" applyFont="1" applyFill="1" applyBorder="1" applyAlignment="1" applyProtection="1">
      <alignment horizontal="center" vertical="center"/>
      <protection hidden="1"/>
    </xf>
    <xf numFmtId="174" fontId="19" fillId="17" borderId="1" xfId="0" applyNumberFormat="1" applyFont="1" applyFill="1" applyBorder="1" applyAlignment="1" applyProtection="1">
      <alignment horizontal="centerContinuous" vertical="center" wrapText="1"/>
      <protection hidden="1"/>
    </xf>
    <xf numFmtId="2" fontId="19" fillId="9" borderId="17" xfId="0" applyNumberFormat="1" applyFont="1" applyFill="1" applyBorder="1" applyAlignment="1" applyProtection="1">
      <alignment horizontal="centerContinuous" vertical="center" wrapText="1"/>
      <protection hidden="1"/>
    </xf>
    <xf numFmtId="1" fontId="19" fillId="14" borderId="37" xfId="3" applyNumberFormat="1" applyFont="1" applyBorder="1" applyAlignment="1" applyProtection="1">
      <alignment horizontal="center" vertical="center"/>
      <protection locked="0"/>
    </xf>
    <xf numFmtId="1" fontId="19" fillId="14" borderId="16" xfId="3" applyNumberFormat="1" applyFont="1" applyBorder="1" applyAlignment="1" applyProtection="1">
      <alignment horizontal="center" vertical="center" wrapText="1"/>
      <protection locked="0"/>
    </xf>
    <xf numFmtId="1" fontId="25" fillId="14" borderId="37" xfId="3" applyNumberFormat="1" applyFont="1" applyBorder="1" applyAlignment="1" applyProtection="1">
      <alignment horizontal="center" vertical="center"/>
      <protection locked="0"/>
    </xf>
    <xf numFmtId="1" fontId="20" fillId="14" borderId="37" xfId="3" applyNumberFormat="1" applyFont="1" applyBorder="1" applyAlignment="1" applyProtection="1">
      <alignment horizontal="center" vertical="center"/>
      <protection locked="0"/>
    </xf>
    <xf numFmtId="1" fontId="21" fillId="14" borderId="37" xfId="3" applyNumberFormat="1" applyFont="1" applyBorder="1" applyAlignment="1" applyProtection="1">
      <alignment horizontal="center" vertical="center"/>
      <protection locked="0"/>
    </xf>
    <xf numFmtId="2" fontId="19" fillId="14" borderId="37" xfId="3" applyFont="1" applyBorder="1" applyAlignment="1" applyProtection="1">
      <alignment horizontal="center" vertical="center"/>
      <protection locked="0"/>
    </xf>
    <xf numFmtId="176" fontId="19" fillId="4" borderId="20" xfId="0" applyNumberFormat="1" applyFont="1" applyFill="1" applyBorder="1" applyAlignment="1" applyProtection="1">
      <alignment horizontal="center" vertical="center"/>
      <protection locked="0"/>
    </xf>
    <xf numFmtId="171" fontId="19" fillId="4" borderId="20" xfId="0" applyNumberFormat="1" applyFont="1" applyFill="1" applyBorder="1" applyAlignment="1" applyProtection="1">
      <alignment horizontal="center" vertical="center"/>
      <protection locked="0"/>
    </xf>
    <xf numFmtId="171" fontId="19" fillId="4" borderId="20" xfId="0" applyNumberFormat="1" applyFont="1" applyFill="1" applyBorder="1" applyAlignment="1" applyProtection="1">
      <alignment horizontal="center" vertical="center" wrapText="1"/>
      <protection locked="0"/>
    </xf>
    <xf numFmtId="171" fontId="19" fillId="7" borderId="1" xfId="0" applyNumberFormat="1" applyFont="1" applyFill="1" applyBorder="1" applyAlignment="1" applyProtection="1">
      <alignment horizontal="center" vertical="center"/>
      <protection locked="0"/>
    </xf>
    <xf numFmtId="2" fontId="19" fillId="0" borderId="0" xfId="0" applyNumberFormat="1" applyFont="1" applyProtection="1">
      <protection locked="0"/>
    </xf>
    <xf numFmtId="168" fontId="0" fillId="0" borderId="0" xfId="0" applyNumberForma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19" fillId="9" borderId="18" xfId="0" applyNumberFormat="1" applyFont="1" applyFill="1" applyBorder="1" applyAlignment="1" applyProtection="1">
      <alignment horizontal="centerContinuous" vertical="center" wrapText="1"/>
      <protection hidden="1"/>
    </xf>
    <xf numFmtId="2" fontId="46" fillId="0" borderId="0" xfId="0" applyNumberFormat="1" applyFont="1" applyProtection="1"/>
    <xf numFmtId="2" fontId="46" fillId="2" borderId="0" xfId="0" applyNumberFormat="1" applyFont="1" applyFill="1" applyBorder="1" applyProtection="1"/>
    <xf numFmtId="2" fontId="46" fillId="2" borderId="25" xfId="0" applyNumberFormat="1" applyFont="1" applyFill="1" applyBorder="1" applyProtection="1"/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46" fillId="0" borderId="0" xfId="0" applyFont="1"/>
    <xf numFmtId="0" fontId="48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/>
    <xf numFmtId="171" fontId="19" fillId="0" borderId="44" xfId="0" applyNumberFormat="1" applyFont="1" applyBorder="1" applyAlignment="1">
      <alignment horizontal="center" vertical="center"/>
    </xf>
    <xf numFmtId="0" fontId="19" fillId="19" borderId="7" xfId="0" applyFont="1" applyFill="1" applyBorder="1" applyAlignment="1">
      <alignment horizontal="center" vertical="center"/>
    </xf>
    <xf numFmtId="2" fontId="19" fillId="2" borderId="0" xfId="0" applyNumberFormat="1" applyFont="1" applyFill="1" applyBorder="1" applyProtection="1"/>
    <xf numFmtId="169" fontId="19" fillId="0" borderId="0" xfId="0" applyNumberFormat="1" applyFont="1" applyAlignment="1">
      <alignment horizontal="center" vertical="center"/>
    </xf>
    <xf numFmtId="0" fontId="39" fillId="20" borderId="4" xfId="0" applyFont="1" applyFill="1" applyBorder="1" applyAlignment="1">
      <alignment horizontal="center" vertical="center" wrapText="1"/>
    </xf>
    <xf numFmtId="0" fontId="39" fillId="20" borderId="5" xfId="0" applyFont="1" applyFill="1" applyBorder="1" applyAlignment="1">
      <alignment horizontal="center" vertical="center"/>
    </xf>
    <xf numFmtId="0" fontId="39" fillId="20" borderId="42" xfId="0" applyFont="1" applyFill="1" applyBorder="1" applyAlignment="1">
      <alignment horizontal="center" vertical="center" wrapText="1"/>
    </xf>
    <xf numFmtId="0" fontId="19" fillId="20" borderId="44" xfId="0" applyFont="1" applyFill="1" applyBorder="1" applyAlignment="1">
      <alignment horizontal="center" vertical="center"/>
    </xf>
    <xf numFmtId="168" fontId="19" fillId="20" borderId="45" xfId="0" applyNumberFormat="1" applyFont="1" applyFill="1" applyBorder="1" applyAlignment="1">
      <alignment horizontal="center" vertical="center"/>
    </xf>
    <xf numFmtId="1" fontId="30" fillId="20" borderId="9" xfId="0" applyNumberFormat="1" applyFont="1" applyFill="1" applyBorder="1" applyAlignment="1">
      <alignment horizontal="center" vertical="center"/>
    </xf>
    <xf numFmtId="171" fontId="19" fillId="7" borderId="37" xfId="0" applyNumberFormat="1" applyFont="1" applyFill="1" applyBorder="1" applyAlignment="1">
      <alignment horizontal="center" vertical="center"/>
    </xf>
    <xf numFmtId="171" fontId="19" fillId="7" borderId="15" xfId="0" applyNumberFormat="1" applyFont="1" applyFill="1" applyBorder="1" applyAlignment="1">
      <alignment horizontal="center" vertical="center"/>
    </xf>
    <xf numFmtId="2" fontId="19" fillId="7" borderId="44" xfId="0" applyNumberFormat="1" applyFont="1" applyFill="1" applyBorder="1" applyAlignment="1">
      <alignment horizontal="center" vertical="center"/>
    </xf>
    <xf numFmtId="0" fontId="19" fillId="7" borderId="46" xfId="0" applyFont="1" applyFill="1" applyBorder="1" applyAlignment="1">
      <alignment horizontal="center"/>
    </xf>
    <xf numFmtId="0" fontId="19" fillId="7" borderId="47" xfId="0" applyFont="1" applyFill="1" applyBorder="1" applyAlignment="1">
      <alignment horizontal="center"/>
    </xf>
    <xf numFmtId="0" fontId="19" fillId="7" borderId="44" xfId="0" applyFont="1" applyFill="1" applyBorder="1" applyAlignment="1">
      <alignment horizontal="center" vertical="center" wrapText="1"/>
    </xf>
    <xf numFmtId="0" fontId="19" fillId="7" borderId="45" xfId="0" applyFont="1" applyFill="1" applyBorder="1" applyAlignment="1">
      <alignment horizontal="center" vertical="center" wrapText="1"/>
    </xf>
    <xf numFmtId="0" fontId="19" fillId="7" borderId="44" xfId="0" applyFont="1" applyFill="1" applyBorder="1" applyAlignment="1">
      <alignment horizontal="center"/>
    </xf>
    <xf numFmtId="164" fontId="19" fillId="7" borderId="45" xfId="0" applyNumberFormat="1" applyFont="1" applyFill="1" applyBorder="1" applyAlignment="1">
      <alignment horizontal="center"/>
    </xf>
    <xf numFmtId="0" fontId="19" fillId="7" borderId="45" xfId="0" applyFont="1" applyFill="1" applyBorder="1" applyAlignment="1">
      <alignment horizontal="center"/>
    </xf>
    <xf numFmtId="0" fontId="19" fillId="7" borderId="7" xfId="0" applyFont="1" applyFill="1" applyBorder="1" applyAlignment="1">
      <alignment horizontal="center" vertical="center" wrapText="1"/>
    </xf>
    <xf numFmtId="0" fontId="19" fillId="7" borderId="12" xfId="0" applyFont="1" applyFill="1" applyBorder="1" applyAlignment="1">
      <alignment horizontal="center"/>
    </xf>
    <xf numFmtId="0" fontId="19" fillId="7" borderId="4" xfId="0" applyFont="1" applyFill="1" applyBorder="1" applyAlignment="1">
      <alignment horizontal="center"/>
    </xf>
    <xf numFmtId="0" fontId="19" fillId="7" borderId="42" xfId="0" applyFont="1" applyFill="1" applyBorder="1" applyAlignment="1">
      <alignment horizontal="center"/>
    </xf>
    <xf numFmtId="164" fontId="19" fillId="7" borderId="44" xfId="0" applyNumberFormat="1" applyFont="1" applyFill="1" applyBorder="1" applyAlignment="1">
      <alignment horizontal="center"/>
    </xf>
    <xf numFmtId="0" fontId="19" fillId="20" borderId="9" xfId="0" applyFont="1" applyFill="1" applyBorder="1" applyAlignment="1">
      <alignment horizontal="center"/>
    </xf>
    <xf numFmtId="0" fontId="19" fillId="20" borderId="11" xfId="0" applyFont="1" applyFill="1" applyBorder="1" applyAlignment="1">
      <alignment horizontal="center"/>
    </xf>
    <xf numFmtId="0" fontId="50" fillId="0" borderId="0" xfId="0" applyFont="1" applyProtection="1"/>
    <xf numFmtId="0" fontId="50" fillId="0" borderId="0" xfId="0" applyFont="1" applyBorder="1" applyProtection="1"/>
    <xf numFmtId="0" fontId="50" fillId="0" borderId="0" xfId="0" applyFont="1" applyAlignment="1" applyProtection="1">
      <alignment horizontal="center" vertical="center"/>
    </xf>
    <xf numFmtId="0" fontId="52" fillId="0" borderId="4" xfId="0" applyNumberFormat="1" applyFont="1" applyBorder="1" applyAlignment="1" applyProtection="1"/>
    <xf numFmtId="0" fontId="52" fillId="0" borderId="5" xfId="0" applyNumberFormat="1" applyFont="1" applyBorder="1" applyAlignment="1" applyProtection="1"/>
    <xf numFmtId="0" fontId="52" fillId="0" borderId="42" xfId="0" applyNumberFormat="1" applyFont="1" applyBorder="1" applyAlignment="1" applyProtection="1"/>
    <xf numFmtId="0" fontId="50" fillId="0" borderId="0" xfId="0" applyFont="1" applyFill="1" applyBorder="1" applyProtection="1"/>
    <xf numFmtId="0" fontId="52" fillId="0" borderId="44" xfId="0" applyNumberFormat="1" applyFont="1" applyFill="1" applyBorder="1" applyAlignment="1" applyProtection="1">
      <alignment horizontal="center" vertical="center"/>
    </xf>
    <xf numFmtId="0" fontId="52" fillId="0" borderId="1" xfId="0" applyNumberFormat="1" applyFont="1" applyFill="1" applyBorder="1" applyAlignment="1" applyProtection="1">
      <alignment horizontal="center" vertical="center"/>
    </xf>
    <xf numFmtId="168" fontId="52" fillId="0" borderId="1" xfId="0" applyNumberFormat="1" applyFont="1" applyFill="1" applyBorder="1" applyAlignment="1" applyProtection="1">
      <alignment horizontal="center" vertical="center"/>
    </xf>
    <xf numFmtId="0" fontId="52" fillId="0" borderId="1" xfId="0" applyNumberFormat="1" applyFont="1" applyFill="1" applyBorder="1" applyAlignment="1" applyProtection="1">
      <alignment horizontal="center" vertical="center" wrapText="1"/>
    </xf>
    <xf numFmtId="0" fontId="52" fillId="0" borderId="45" xfId="0" applyNumberFormat="1" applyFont="1" applyFill="1" applyBorder="1" applyAlignment="1" applyProtection="1">
      <alignment horizontal="center" vertical="center"/>
    </xf>
    <xf numFmtId="0" fontId="50" fillId="0" borderId="0" xfId="0" applyFont="1" applyFill="1" applyProtection="1"/>
    <xf numFmtId="0" fontId="50" fillId="0" borderId="7" xfId="0" applyNumberFormat="1" applyFont="1" applyFill="1" applyBorder="1" applyProtection="1"/>
    <xf numFmtId="0" fontId="50" fillId="0" borderId="8" xfId="0" applyNumberFormat="1" applyFont="1" applyFill="1" applyBorder="1" applyProtection="1"/>
    <xf numFmtId="0" fontId="50" fillId="0" borderId="12" xfId="0" applyNumberFormat="1" applyFont="1" applyFill="1" applyBorder="1" applyProtection="1"/>
    <xf numFmtId="0" fontId="52" fillId="0" borderId="45" xfId="0" applyNumberFormat="1" applyFont="1" applyFill="1" applyBorder="1" applyAlignment="1" applyProtection="1">
      <alignment horizontal="center" vertical="center" wrapText="1"/>
    </xf>
    <xf numFmtId="0" fontId="52" fillId="0" borderId="7" xfId="0" applyNumberFormat="1" applyFont="1" applyFill="1" applyBorder="1" applyAlignment="1" applyProtection="1">
      <alignment horizontal="center"/>
    </xf>
    <xf numFmtId="0" fontId="52" fillId="0" borderId="8" xfId="0" applyNumberFormat="1" applyFont="1" applyFill="1" applyBorder="1" applyAlignment="1" applyProtection="1">
      <alignment horizontal="center"/>
    </xf>
    <xf numFmtId="0" fontId="52" fillId="0" borderId="8" xfId="0" applyNumberFormat="1" applyFont="1" applyFill="1" applyBorder="1" applyAlignment="1" applyProtection="1">
      <alignment horizontal="center" vertical="center" wrapText="1"/>
    </xf>
    <xf numFmtId="0" fontId="52" fillId="0" borderId="12" xfId="0" applyNumberFormat="1" applyFont="1" applyFill="1" applyBorder="1" applyAlignment="1" applyProtection="1">
      <alignment horizontal="center"/>
    </xf>
    <xf numFmtId="0" fontId="50" fillId="0" borderId="14" xfId="0" applyFont="1" applyBorder="1" applyAlignment="1" applyProtection="1"/>
    <xf numFmtId="0" fontId="50" fillId="0" borderId="15" xfId="0" applyFont="1" applyBorder="1" applyAlignment="1" applyProtection="1"/>
    <xf numFmtId="0" fontId="50" fillId="0" borderId="10" xfId="0" applyFont="1" applyBorder="1" applyAlignment="1" applyProtection="1"/>
    <xf numFmtId="0" fontId="50" fillId="0" borderId="11" xfId="0" applyFont="1" applyBorder="1" applyAlignment="1" applyProtection="1">
      <alignment horizontal="center" vertical="center"/>
    </xf>
    <xf numFmtId="0" fontId="50" fillId="0" borderId="46" xfId="0" applyFont="1" applyFill="1" applyBorder="1" applyAlignment="1" applyProtection="1">
      <alignment horizontal="center" vertical="center" wrapText="1"/>
    </xf>
    <xf numFmtId="0" fontId="50" fillId="0" borderId="20" xfId="0" applyFont="1" applyFill="1" applyBorder="1" applyAlignment="1" applyProtection="1">
      <alignment horizontal="center" vertical="center"/>
    </xf>
    <xf numFmtId="168" fontId="50" fillId="0" borderId="20" xfId="0" applyNumberFormat="1" applyFont="1" applyFill="1" applyBorder="1" applyAlignment="1" applyProtection="1">
      <alignment horizontal="center" vertical="center"/>
    </xf>
    <xf numFmtId="164" fontId="50" fillId="0" borderId="20" xfId="0" applyNumberFormat="1" applyFont="1" applyFill="1" applyBorder="1" applyAlignment="1" applyProtection="1">
      <alignment horizontal="center" vertical="center"/>
    </xf>
    <xf numFmtId="169" fontId="50" fillId="0" borderId="62" xfId="0" applyNumberFormat="1" applyFont="1" applyFill="1" applyBorder="1" applyAlignment="1" applyProtection="1">
      <alignment horizontal="center" vertical="center"/>
    </xf>
    <xf numFmtId="0" fontId="50" fillId="0" borderId="47" xfId="0" applyFont="1" applyFill="1" applyBorder="1" applyAlignment="1" applyProtection="1">
      <alignment horizontal="center" vertical="center"/>
    </xf>
    <xf numFmtId="0" fontId="50" fillId="0" borderId="44" xfId="0" applyFont="1" applyFill="1" applyBorder="1" applyAlignment="1" applyProtection="1">
      <alignment horizontal="center" vertical="center" wrapText="1"/>
    </xf>
    <xf numFmtId="0" fontId="50" fillId="0" borderId="1" xfId="0" applyFont="1" applyFill="1" applyBorder="1" applyAlignment="1" applyProtection="1">
      <alignment horizontal="center" vertical="center"/>
    </xf>
    <xf numFmtId="168" fontId="50" fillId="0" borderId="1" xfId="0" applyNumberFormat="1" applyFont="1" applyFill="1" applyBorder="1" applyAlignment="1" applyProtection="1">
      <alignment horizontal="center" vertical="center"/>
    </xf>
    <xf numFmtId="165" fontId="50" fillId="0" borderId="1" xfId="0" applyNumberFormat="1" applyFont="1" applyFill="1" applyBorder="1" applyAlignment="1" applyProtection="1">
      <alignment horizontal="center" vertical="center"/>
    </xf>
    <xf numFmtId="2" fontId="50" fillId="0" borderId="1" xfId="0" applyNumberFormat="1" applyFont="1" applyFill="1" applyBorder="1" applyAlignment="1" applyProtection="1">
      <alignment horizontal="center" vertical="center"/>
    </xf>
    <xf numFmtId="0" fontId="50" fillId="0" borderId="2" xfId="0" applyFont="1" applyFill="1" applyBorder="1" applyAlignment="1" applyProtection="1">
      <alignment horizontal="center" vertical="center"/>
    </xf>
    <xf numFmtId="169" fontId="50" fillId="0" borderId="1" xfId="0" applyNumberFormat="1" applyFont="1" applyFill="1" applyBorder="1" applyAlignment="1" applyProtection="1">
      <alignment horizontal="center" vertical="center"/>
    </xf>
    <xf numFmtId="171" fontId="50" fillId="0" borderId="1" xfId="0" applyNumberFormat="1" applyFont="1" applyFill="1" applyBorder="1" applyAlignment="1" applyProtection="1">
      <alignment horizontal="center" vertical="center"/>
    </xf>
    <xf numFmtId="0" fontId="50" fillId="0" borderId="48" xfId="0" applyFont="1" applyFill="1" applyBorder="1" applyAlignment="1" applyProtection="1">
      <alignment horizontal="center" vertical="center" wrapText="1"/>
    </xf>
    <xf numFmtId="0" fontId="50" fillId="0" borderId="33" xfId="0" applyFont="1" applyFill="1" applyBorder="1" applyAlignment="1" applyProtection="1">
      <alignment horizontal="center" vertical="center"/>
    </xf>
    <xf numFmtId="168" fontId="50" fillId="0" borderId="33" xfId="0" applyNumberFormat="1" applyFont="1" applyFill="1" applyBorder="1" applyAlignment="1" applyProtection="1">
      <alignment horizontal="center" vertical="center"/>
    </xf>
    <xf numFmtId="169" fontId="50" fillId="0" borderId="33" xfId="0" applyNumberFormat="1" applyFont="1" applyFill="1" applyBorder="1" applyAlignment="1" applyProtection="1">
      <alignment horizontal="center" vertical="center"/>
    </xf>
    <xf numFmtId="0" fontId="50" fillId="0" borderId="55" xfId="0" applyFont="1" applyFill="1" applyBorder="1" applyAlignment="1" applyProtection="1">
      <alignment horizontal="center" vertical="center"/>
    </xf>
    <xf numFmtId="0" fontId="50" fillId="0" borderId="4" xfId="0" applyFont="1" applyFill="1" applyBorder="1" applyAlignment="1" applyProtection="1">
      <alignment horizontal="center" vertical="center" wrapText="1"/>
    </xf>
    <xf numFmtId="0" fontId="50" fillId="0" borderId="5" xfId="0" applyFont="1" applyFill="1" applyBorder="1" applyAlignment="1" applyProtection="1">
      <alignment horizontal="center" vertical="center"/>
    </xf>
    <xf numFmtId="168" fontId="50" fillId="0" borderId="5" xfId="0" applyNumberFormat="1" applyFont="1" applyFill="1" applyBorder="1" applyAlignment="1" applyProtection="1">
      <alignment horizontal="center" vertical="center"/>
    </xf>
    <xf numFmtId="166" fontId="50" fillId="0" borderId="5" xfId="0" applyNumberFormat="1" applyFont="1" applyFill="1" applyBorder="1" applyAlignment="1" applyProtection="1">
      <alignment horizontal="center" vertical="center"/>
    </xf>
    <xf numFmtId="164" fontId="50" fillId="0" borderId="5" xfId="0" applyNumberFormat="1" applyFont="1" applyFill="1" applyBorder="1" applyAlignment="1" applyProtection="1">
      <alignment horizontal="center" vertical="center"/>
    </xf>
    <xf numFmtId="169" fontId="50" fillId="0" borderId="5" xfId="0" applyNumberFormat="1" applyFont="1" applyFill="1" applyBorder="1" applyAlignment="1" applyProtection="1">
      <alignment horizontal="center" vertical="center"/>
    </xf>
    <xf numFmtId="0" fontId="50" fillId="0" borderId="42" xfId="0" applyFont="1" applyFill="1" applyBorder="1" applyAlignment="1" applyProtection="1">
      <alignment horizontal="center" vertical="center"/>
    </xf>
    <xf numFmtId="166" fontId="50" fillId="0" borderId="1" xfId="0" applyNumberFormat="1" applyFont="1" applyFill="1" applyBorder="1" applyAlignment="1" applyProtection="1">
      <alignment horizontal="center" vertical="center"/>
    </xf>
    <xf numFmtId="0" fontId="50" fillId="0" borderId="45" xfId="0" applyFont="1" applyFill="1" applyBorder="1" applyAlignment="1" applyProtection="1">
      <alignment horizontal="center" vertical="center"/>
    </xf>
    <xf numFmtId="164" fontId="50" fillId="0" borderId="1" xfId="0" applyNumberFormat="1" applyFont="1" applyFill="1" applyBorder="1" applyAlignment="1" applyProtection="1">
      <alignment horizontal="center" vertical="center"/>
    </xf>
    <xf numFmtId="0" fontId="50" fillId="0" borderId="1" xfId="4" applyFont="1" applyFill="1" applyBorder="1" applyProtection="1">
      <alignment horizontal="center" vertical="center"/>
    </xf>
    <xf numFmtId="0" fontId="50" fillId="0" borderId="7" xfId="0" applyFont="1" applyFill="1" applyBorder="1" applyAlignment="1" applyProtection="1">
      <alignment horizontal="center" vertical="center" wrapText="1"/>
    </xf>
    <xf numFmtId="0" fontId="50" fillId="0" borderId="8" xfId="0" applyFont="1" applyFill="1" applyBorder="1" applyAlignment="1" applyProtection="1">
      <alignment horizontal="center" vertical="center"/>
    </xf>
    <xf numFmtId="168" fontId="50" fillId="0" borderId="8" xfId="0" applyNumberFormat="1" applyFont="1" applyFill="1" applyBorder="1" applyAlignment="1" applyProtection="1">
      <alignment horizontal="center" vertical="center"/>
    </xf>
    <xf numFmtId="0" fontId="50" fillId="0" borderId="8" xfId="4" applyFont="1" applyFill="1" applyBorder="1" applyProtection="1">
      <alignment horizontal="center" vertical="center"/>
    </xf>
    <xf numFmtId="169" fontId="50" fillId="0" borderId="8" xfId="0" applyNumberFormat="1" applyFont="1" applyFill="1" applyBorder="1" applyAlignment="1" applyProtection="1">
      <alignment horizontal="center" vertical="center"/>
    </xf>
    <xf numFmtId="171" fontId="50" fillId="0" borderId="8" xfId="0" applyNumberFormat="1" applyFont="1" applyFill="1" applyBorder="1" applyAlignment="1" applyProtection="1">
      <alignment horizontal="center" vertical="center"/>
    </xf>
    <xf numFmtId="0" fontId="50" fillId="0" borderId="12" xfId="0" applyFont="1" applyFill="1" applyBorder="1" applyAlignment="1" applyProtection="1">
      <alignment horizontal="center" vertical="center"/>
    </xf>
    <xf numFmtId="0" fontId="50" fillId="0" borderId="20" xfId="4" applyFont="1" applyFill="1" applyBorder="1" applyProtection="1">
      <alignment horizontal="center" vertical="center"/>
    </xf>
    <xf numFmtId="165" fontId="50" fillId="0" borderId="20" xfId="0" applyNumberFormat="1" applyFont="1" applyFill="1" applyBorder="1" applyAlignment="1" applyProtection="1">
      <alignment horizontal="center" vertical="center"/>
    </xf>
    <xf numFmtId="169" fontId="50" fillId="0" borderId="17" xfId="0" applyNumberFormat="1" applyFont="1" applyFill="1" applyBorder="1" applyAlignment="1" applyProtection="1">
      <alignment horizontal="center" vertical="center"/>
    </xf>
    <xf numFmtId="0" fontId="52" fillId="0" borderId="0" xfId="0" applyFont="1" applyBorder="1" applyProtection="1"/>
    <xf numFmtId="0" fontId="52" fillId="0" borderId="0" xfId="0" applyFont="1" applyFill="1" applyBorder="1" applyProtection="1"/>
    <xf numFmtId="0" fontId="52" fillId="0" borderId="0" xfId="0" applyFont="1" applyBorder="1" applyAlignment="1" applyProtection="1">
      <alignment horizontal="center"/>
    </xf>
    <xf numFmtId="171" fontId="50" fillId="0" borderId="33" xfId="0" applyNumberFormat="1" applyFont="1" applyFill="1" applyBorder="1" applyAlignment="1" applyProtection="1">
      <alignment horizontal="center" vertical="center"/>
    </xf>
    <xf numFmtId="169" fontId="50" fillId="0" borderId="31" xfId="0" applyNumberFormat="1" applyFont="1" applyFill="1" applyBorder="1" applyAlignment="1" applyProtection="1">
      <alignment horizontal="center" vertical="center"/>
    </xf>
    <xf numFmtId="0" fontId="50" fillId="0" borderId="56" xfId="0" applyFont="1" applyFill="1" applyBorder="1" applyAlignment="1" applyProtection="1">
      <alignment horizontal="center" vertical="center"/>
    </xf>
    <xf numFmtId="0" fontId="52" fillId="0" borderId="37" xfId="0" applyFont="1" applyFill="1" applyBorder="1" applyAlignment="1" applyProtection="1">
      <alignment horizontal="center" vertical="center"/>
    </xf>
    <xf numFmtId="0" fontId="50" fillId="0" borderId="5" xfId="4" applyFont="1" applyFill="1" applyBorder="1" applyProtection="1">
      <alignment horizontal="center" vertical="center"/>
    </xf>
    <xf numFmtId="164" fontId="50" fillId="0" borderId="53" xfId="0" applyNumberFormat="1" applyFont="1" applyFill="1" applyBorder="1" applyAlignment="1" applyProtection="1">
      <alignment horizontal="center" vertical="center"/>
    </xf>
    <xf numFmtId="169" fontId="50" fillId="0" borderId="60" xfId="0" applyNumberFormat="1" applyFont="1" applyFill="1" applyBorder="1" applyAlignment="1" applyProtection="1">
      <alignment horizontal="center" vertical="center"/>
    </xf>
    <xf numFmtId="0" fontId="50" fillId="0" borderId="54" xfId="0" applyFont="1" applyFill="1" applyBorder="1" applyAlignment="1" applyProtection="1">
      <alignment horizontal="center" vertical="center"/>
    </xf>
    <xf numFmtId="0" fontId="50" fillId="0" borderId="17" xfId="0" applyFont="1" applyFill="1" applyBorder="1" applyAlignment="1" applyProtection="1">
      <alignment horizontal="center" vertical="center"/>
    </xf>
    <xf numFmtId="169" fontId="50" fillId="0" borderId="2" xfId="0" applyNumberFormat="1" applyFont="1" applyFill="1" applyBorder="1" applyAlignment="1" applyProtection="1">
      <alignment horizontal="center" vertical="center"/>
    </xf>
    <xf numFmtId="0" fontId="50" fillId="0" borderId="40" xfId="0" applyFont="1" applyFill="1" applyBorder="1" applyAlignment="1" applyProtection="1">
      <alignment horizontal="center" vertical="center"/>
    </xf>
    <xf numFmtId="0" fontId="51" fillId="0" borderId="0" xfId="0" applyFont="1" applyBorder="1" applyAlignment="1" applyProtection="1">
      <alignment vertical="center" textRotation="90"/>
    </xf>
    <xf numFmtId="175" fontId="52" fillId="0" borderId="44" xfId="0" applyNumberFormat="1" applyFont="1" applyFill="1" applyBorder="1" applyAlignment="1" applyProtection="1">
      <alignment horizontal="center" vertical="center"/>
    </xf>
    <xf numFmtId="0" fontId="52" fillId="0" borderId="5" xfId="0" applyFont="1" applyFill="1" applyBorder="1" applyAlignment="1" applyProtection="1">
      <alignment horizontal="center" vertical="center"/>
    </xf>
    <xf numFmtId="175" fontId="52" fillId="0" borderId="5" xfId="0" applyNumberFormat="1" applyFont="1" applyFill="1" applyBorder="1" applyAlignment="1" applyProtection="1">
      <alignment horizontal="center" vertical="center"/>
    </xf>
    <xf numFmtId="0" fontId="52" fillId="0" borderId="44" xfId="0" applyFont="1" applyBorder="1" applyAlignment="1" applyProtection="1">
      <alignment horizontal="center" vertical="center"/>
    </xf>
    <xf numFmtId="0" fontId="52" fillId="0" borderId="1" xfId="0" applyFont="1" applyFill="1" applyBorder="1" applyAlignment="1" applyProtection="1">
      <alignment horizontal="center" vertical="center" wrapText="1"/>
    </xf>
    <xf numFmtId="0" fontId="52" fillId="0" borderId="1" xfId="0" applyFont="1" applyFill="1" applyBorder="1" applyAlignment="1" applyProtection="1">
      <alignment horizontal="center" vertical="center"/>
    </xf>
    <xf numFmtId="0" fontId="50" fillId="0" borderId="45" xfId="0" applyFont="1" applyFill="1" applyBorder="1" applyAlignment="1" applyProtection="1">
      <alignment vertical="center"/>
    </xf>
    <xf numFmtId="0" fontId="52" fillId="0" borderId="0" xfId="0" applyFont="1" applyBorder="1" applyAlignment="1" applyProtection="1">
      <alignment horizontal="center" vertical="center"/>
    </xf>
    <xf numFmtId="171" fontId="52" fillId="0" borderId="1" xfId="0" applyNumberFormat="1" applyFont="1" applyFill="1" applyBorder="1" applyAlignment="1" applyProtection="1">
      <alignment horizontal="center" vertical="center"/>
    </xf>
    <xf numFmtId="0" fontId="52" fillId="0" borderId="45" xfId="0" applyFont="1" applyFill="1" applyBorder="1" applyAlignment="1" applyProtection="1">
      <alignment horizontal="center" vertical="center"/>
    </xf>
    <xf numFmtId="0" fontId="52" fillId="0" borderId="44" xfId="0" applyFont="1" applyFill="1" applyBorder="1" applyAlignment="1" applyProtection="1">
      <alignment horizontal="center" vertical="center"/>
    </xf>
    <xf numFmtId="0" fontId="52" fillId="0" borderId="7" xfId="0" applyFont="1" applyFill="1" applyBorder="1" applyAlignment="1" applyProtection="1">
      <alignment horizontal="center" vertical="center"/>
    </xf>
    <xf numFmtId="0" fontId="52" fillId="0" borderId="8" xfId="0" applyFont="1" applyFill="1" applyBorder="1" applyAlignment="1" applyProtection="1">
      <alignment horizontal="center" vertical="center"/>
    </xf>
    <xf numFmtId="0" fontId="52" fillId="0" borderId="12" xfId="0" applyFont="1" applyFill="1" applyBorder="1" applyAlignment="1" applyProtection="1">
      <alignment horizontal="center" vertical="center"/>
    </xf>
    <xf numFmtId="0" fontId="52" fillId="0" borderId="0" xfId="0" applyFont="1" applyFill="1" applyBorder="1" applyAlignment="1" applyProtection="1">
      <alignment vertical="center"/>
    </xf>
    <xf numFmtId="0" fontId="52" fillId="0" borderId="58" xfId="0" applyFont="1" applyFill="1" applyBorder="1" applyAlignment="1" applyProtection="1">
      <alignment vertical="center"/>
    </xf>
    <xf numFmtId="0" fontId="52" fillId="0" borderId="25" xfId="0" applyFont="1" applyFill="1" applyBorder="1" applyAlignment="1" applyProtection="1">
      <alignment vertical="center"/>
    </xf>
    <xf numFmtId="0" fontId="52" fillId="0" borderId="50" xfId="0" applyFont="1" applyFill="1" applyBorder="1" applyAlignment="1" applyProtection="1">
      <alignment vertical="center"/>
    </xf>
    <xf numFmtId="2" fontId="52" fillId="0" borderId="1" xfId="0" applyNumberFormat="1" applyFont="1" applyFill="1" applyBorder="1" applyAlignment="1" applyProtection="1">
      <alignment vertical="center"/>
    </xf>
    <xf numFmtId="0" fontId="52" fillId="0" borderId="1" xfId="0" applyFont="1" applyFill="1" applyBorder="1" applyAlignment="1" applyProtection="1">
      <alignment vertical="center"/>
    </xf>
    <xf numFmtId="0" fontId="52" fillId="0" borderId="45" xfId="0" applyFont="1" applyFill="1" applyBorder="1" applyAlignment="1" applyProtection="1">
      <alignment vertical="center"/>
    </xf>
    <xf numFmtId="2" fontId="52" fillId="0" borderId="40" xfId="0" applyNumberFormat="1" applyFont="1" applyFill="1" applyBorder="1" applyAlignment="1" applyProtection="1">
      <alignment vertical="center"/>
    </xf>
    <xf numFmtId="0" fontId="52" fillId="0" borderId="13" xfId="0" applyFont="1" applyFill="1" applyBorder="1" applyAlignment="1" applyProtection="1">
      <alignment vertical="center"/>
    </xf>
    <xf numFmtId="0" fontId="52" fillId="0" borderId="8" xfId="0" applyFont="1" applyFill="1" applyBorder="1" applyAlignment="1" applyProtection="1">
      <alignment vertical="center"/>
    </xf>
    <xf numFmtId="0" fontId="52" fillId="0" borderId="12" xfId="0" applyFont="1" applyFill="1" applyBorder="1" applyAlignment="1" applyProtection="1"/>
    <xf numFmtId="0" fontId="55" fillId="0" borderId="0" xfId="0" applyFont="1" applyProtection="1"/>
    <xf numFmtId="0" fontId="52" fillId="0" borderId="0" xfId="0" applyFont="1" applyFill="1" applyBorder="1" applyAlignment="1" applyProtection="1">
      <alignment horizontal="center" vertical="center"/>
    </xf>
    <xf numFmtId="0" fontId="50" fillId="0" borderId="27" xfId="0" applyFont="1" applyFill="1" applyBorder="1" applyAlignment="1" applyProtection="1">
      <alignment horizontal="center" vertical="center"/>
    </xf>
    <xf numFmtId="0" fontId="50" fillId="0" borderId="57" xfId="0" applyFont="1" applyFill="1" applyBorder="1" applyAlignment="1" applyProtection="1">
      <alignment horizontal="center" vertical="center"/>
    </xf>
    <xf numFmtId="0" fontId="50" fillId="0" borderId="1" xfId="0" applyFont="1" applyFill="1" applyBorder="1" applyAlignment="1" applyProtection="1">
      <alignment horizontal="center" vertical="center" wrapText="1"/>
    </xf>
    <xf numFmtId="0" fontId="50" fillId="0" borderId="50" xfId="0" applyFont="1" applyFill="1" applyBorder="1" applyAlignment="1" applyProtection="1">
      <alignment horizontal="center" vertical="center"/>
    </xf>
    <xf numFmtId="0" fontId="50" fillId="0" borderId="65" xfId="0" applyFont="1" applyFill="1" applyBorder="1" applyAlignment="1" applyProtection="1">
      <alignment horizontal="center" vertical="center"/>
    </xf>
    <xf numFmtId="0" fontId="4" fillId="21" borderId="20" xfId="0" applyFont="1" applyFill="1" applyBorder="1" applyAlignment="1" applyProtection="1">
      <alignment horizontal="left" vertical="center" wrapText="1"/>
      <protection hidden="1"/>
    </xf>
    <xf numFmtId="0" fontId="56" fillId="21" borderId="20" xfId="0" applyFont="1" applyFill="1" applyBorder="1" applyAlignment="1" applyProtection="1">
      <alignment horizontal="left" vertical="center" wrapText="1"/>
      <protection hidden="1"/>
    </xf>
    <xf numFmtId="2" fontId="5" fillId="14" borderId="20" xfId="3" applyBorder="1" applyAlignment="1" applyProtection="1">
      <alignment horizontal="center" vertical="center"/>
      <protection locked="0" hidden="1"/>
    </xf>
    <xf numFmtId="0" fontId="56" fillId="21" borderId="1" xfId="0" applyFont="1" applyFill="1" applyBorder="1" applyAlignment="1" applyProtection="1">
      <alignment horizontal="center" vertical="center" wrapText="1"/>
      <protection hidden="1"/>
    </xf>
    <xf numFmtId="0" fontId="4" fillId="21" borderId="1" xfId="0" applyFont="1" applyFill="1" applyBorder="1" applyAlignment="1" applyProtection="1">
      <alignment horizontal="left" vertical="center" wrapText="1"/>
      <protection hidden="1"/>
    </xf>
    <xf numFmtId="2" fontId="5" fillId="14" borderId="1" xfId="3" applyBorder="1" applyAlignment="1" applyProtection="1">
      <alignment horizontal="center" vertical="center"/>
      <protection locked="0" hidden="1"/>
    </xf>
    <xf numFmtId="0" fontId="50" fillId="0" borderId="20" xfId="0" applyFont="1" applyBorder="1" applyAlignment="1" applyProtection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0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50" fillId="0" borderId="49" xfId="0" applyFont="1" applyFill="1" applyBorder="1" applyAlignment="1" applyProtection="1">
      <alignment horizontal="center" vertical="center"/>
    </xf>
    <xf numFmtId="0" fontId="50" fillId="0" borderId="67" xfId="0" applyFont="1" applyFill="1" applyBorder="1" applyAlignment="1" applyProtection="1">
      <alignment horizontal="center" vertical="center"/>
    </xf>
    <xf numFmtId="3" fontId="52" fillId="22" borderId="46" xfId="0" applyNumberFormat="1" applyFont="1" applyFill="1" applyBorder="1" applyAlignment="1" applyProtection="1">
      <alignment horizontal="center" vertical="center" wrapText="1"/>
    </xf>
    <xf numFmtId="0" fontId="50" fillId="0" borderId="15" xfId="0" applyFont="1" applyBorder="1" applyProtection="1"/>
    <xf numFmtId="0" fontId="50" fillId="0" borderId="15" xfId="0" applyFont="1" applyBorder="1" applyAlignment="1" applyProtection="1">
      <alignment horizontal="center" vertical="center"/>
    </xf>
    <xf numFmtId="0" fontId="50" fillId="0" borderId="16" xfId="0" applyFont="1" applyBorder="1" applyAlignment="1" applyProtection="1">
      <alignment horizontal="center" vertical="center"/>
    </xf>
    <xf numFmtId="171" fontId="52" fillId="0" borderId="8" xfId="0" applyNumberFormat="1" applyFont="1" applyFill="1" applyBorder="1" applyAlignment="1" applyProtection="1">
      <alignment horizontal="center" vertical="center"/>
    </xf>
    <xf numFmtId="0" fontId="50" fillId="0" borderId="32" xfId="0" applyFont="1" applyBorder="1" applyAlignment="1" applyProtection="1"/>
    <xf numFmtId="0" fontId="50" fillId="0" borderId="22" xfId="0" applyFont="1" applyBorder="1" applyProtection="1"/>
    <xf numFmtId="0" fontId="51" fillId="0" borderId="32" xfId="0" applyFont="1" applyBorder="1" applyAlignment="1" applyProtection="1">
      <alignment vertical="center" textRotation="90"/>
    </xf>
    <xf numFmtId="0" fontId="50" fillId="0" borderId="32" xfId="0" applyFont="1" applyBorder="1" applyProtection="1"/>
    <xf numFmtId="0" fontId="51" fillId="0" borderId="43" xfId="0" applyFont="1" applyBorder="1" applyAlignment="1" applyProtection="1">
      <alignment horizontal="center" vertical="center"/>
    </xf>
    <xf numFmtId="0" fontId="52" fillId="0" borderId="43" xfId="0" applyFont="1" applyFill="1" applyBorder="1" applyAlignment="1" applyProtection="1">
      <alignment horizontal="center" vertical="center"/>
    </xf>
    <xf numFmtId="0" fontId="50" fillId="0" borderId="43" xfId="0" applyFont="1" applyFill="1" applyBorder="1" applyAlignment="1" applyProtection="1">
      <alignment horizontal="center" vertical="center"/>
    </xf>
    <xf numFmtId="3" fontId="52" fillId="0" borderId="43" xfId="0" applyNumberFormat="1" applyFont="1" applyFill="1" applyBorder="1" applyAlignment="1" applyProtection="1">
      <alignment horizontal="center" vertical="center" wrapText="1"/>
    </xf>
    <xf numFmtId="171" fontId="52" fillId="0" borderId="43" xfId="0" applyNumberFormat="1" applyFont="1" applyFill="1" applyBorder="1" applyAlignment="1" applyProtection="1">
      <alignment horizontal="center" vertical="center"/>
    </xf>
    <xf numFmtId="168" fontId="52" fillId="0" borderId="43" xfId="0" applyNumberFormat="1" applyFont="1" applyFill="1" applyBorder="1" applyAlignment="1" applyProtection="1">
      <alignment horizontal="center" vertical="center"/>
    </xf>
    <xf numFmtId="0" fontId="51" fillId="0" borderId="24" xfId="0" applyFont="1" applyBorder="1" applyAlignment="1" applyProtection="1">
      <alignment horizontal="center" vertical="center"/>
    </xf>
    <xf numFmtId="0" fontId="51" fillId="0" borderId="0" xfId="0" applyFont="1" applyBorder="1" applyAlignment="1" applyProtection="1">
      <alignment horizontal="center" vertical="center"/>
    </xf>
    <xf numFmtId="0" fontId="50" fillId="0" borderId="0" xfId="0" applyFont="1" applyFill="1" applyBorder="1" applyAlignment="1" applyProtection="1">
      <alignment horizontal="center" vertical="center"/>
    </xf>
    <xf numFmtId="3" fontId="52" fillId="0" borderId="0" xfId="0" applyNumberFormat="1" applyFont="1" applyFill="1" applyBorder="1" applyAlignment="1" applyProtection="1">
      <alignment horizontal="center" vertical="center" wrapText="1"/>
    </xf>
    <xf numFmtId="168" fontId="52" fillId="0" borderId="0" xfId="0" applyNumberFormat="1" applyFont="1" applyFill="1" applyBorder="1" applyAlignment="1" applyProtection="1">
      <alignment horizontal="center" vertical="center"/>
    </xf>
    <xf numFmtId="14" fontId="52" fillId="0" borderId="0" xfId="0" applyNumberFormat="1" applyFont="1" applyFill="1" applyBorder="1" applyAlignment="1" applyProtection="1">
      <alignment horizontal="center" vertical="center" wrapText="1"/>
    </xf>
    <xf numFmtId="3" fontId="52" fillId="22" borderId="4" xfId="0" applyNumberFormat="1" applyFont="1" applyFill="1" applyBorder="1" applyAlignment="1" applyProtection="1">
      <alignment horizontal="center" vertical="center" wrapText="1"/>
    </xf>
    <xf numFmtId="0" fontId="50" fillId="0" borderId="5" xfId="0" applyFont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0" fillId="0" borderId="1" xfId="0" applyFont="1" applyBorder="1" applyProtection="1"/>
    <xf numFmtId="171" fontId="52" fillId="23" borderId="5" xfId="0" applyNumberFormat="1" applyFont="1" applyFill="1" applyBorder="1" applyAlignment="1" applyProtection="1">
      <alignment horizontal="center" vertical="center"/>
    </xf>
    <xf numFmtId="0" fontId="52" fillId="23" borderId="1" xfId="0" applyFont="1" applyFill="1" applyBorder="1" applyAlignment="1" applyProtection="1">
      <alignment horizontal="center" vertical="center"/>
    </xf>
    <xf numFmtId="0" fontId="52" fillId="23" borderId="5" xfId="0" applyFont="1" applyFill="1" applyBorder="1" applyAlignment="1" applyProtection="1">
      <alignment horizontal="center" vertical="center"/>
    </xf>
    <xf numFmtId="178" fontId="52" fillId="23" borderId="1" xfId="0" applyNumberFormat="1" applyFont="1" applyFill="1" applyBorder="1" applyAlignment="1" applyProtection="1">
      <alignment horizontal="center" vertical="center" wrapText="1"/>
    </xf>
    <xf numFmtId="0" fontId="52" fillId="23" borderId="8" xfId="0" applyFont="1" applyFill="1" applyBorder="1" applyAlignment="1" applyProtection="1">
      <alignment horizontal="center" vertical="center"/>
    </xf>
    <xf numFmtId="178" fontId="52" fillId="23" borderId="8" xfId="0" applyNumberFormat="1" applyFont="1" applyFill="1" applyBorder="1" applyAlignment="1" applyProtection="1">
      <alignment horizontal="center" vertical="center" wrapText="1"/>
    </xf>
    <xf numFmtId="178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171" fontId="52" fillId="23" borderId="1" xfId="0" applyNumberFormat="1" applyFont="1" applyFill="1" applyBorder="1" applyAlignment="1" applyProtection="1">
      <alignment horizontal="center" vertical="center"/>
    </xf>
    <xf numFmtId="0" fontId="50" fillId="0" borderId="5" xfId="0" applyFont="1" applyBorder="1" applyProtection="1"/>
    <xf numFmtId="171" fontId="50" fillId="0" borderId="1" xfId="0" applyNumberFormat="1" applyFont="1" applyBorder="1" applyAlignment="1" applyProtection="1">
      <alignment horizontal="center" vertical="center" wrapText="1"/>
    </xf>
    <xf numFmtId="0" fontId="50" fillId="0" borderId="24" xfId="0" applyFont="1" applyBorder="1" applyProtection="1"/>
    <xf numFmtId="0" fontId="50" fillId="0" borderId="23" xfId="0" applyFont="1" applyBorder="1" applyProtection="1"/>
    <xf numFmtId="0" fontId="50" fillId="0" borderId="41" xfId="0" applyFont="1" applyBorder="1" applyProtection="1"/>
    <xf numFmtId="0" fontId="50" fillId="0" borderId="6" xfId="0" applyFont="1" applyBorder="1" applyProtection="1"/>
    <xf numFmtId="0" fontId="7" fillId="0" borderId="1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169" fontId="7" fillId="0" borderId="27" xfId="0" applyNumberFormat="1" applyFont="1" applyFill="1" applyBorder="1" applyAlignment="1" applyProtection="1">
      <alignment horizontal="center" vertical="center"/>
    </xf>
    <xf numFmtId="169" fontId="7" fillId="0" borderId="33" xfId="0" applyNumberFormat="1" applyFont="1" applyFill="1" applyBorder="1" applyAlignment="1" applyProtection="1">
      <alignment horizontal="center" vertical="center"/>
    </xf>
    <xf numFmtId="169" fontId="7" fillId="0" borderId="8" xfId="0" applyNumberFormat="1" applyFont="1" applyFill="1" applyBorder="1" applyAlignment="1" applyProtection="1">
      <alignment horizontal="center" vertical="center"/>
    </xf>
    <xf numFmtId="1" fontId="7" fillId="0" borderId="27" xfId="0" applyNumberFormat="1" applyFont="1" applyFill="1" applyBorder="1" applyAlignment="1" applyProtection="1">
      <alignment horizontal="center" vertical="center"/>
    </xf>
    <xf numFmtId="1" fontId="7" fillId="0" borderId="1" xfId="0" applyNumberFormat="1" applyFont="1" applyFill="1" applyBorder="1" applyAlignment="1" applyProtection="1">
      <alignment horizontal="center" vertical="center"/>
    </xf>
    <xf numFmtId="0" fontId="50" fillId="0" borderId="5" xfId="0" applyFont="1" applyFill="1" applyBorder="1" applyAlignment="1" applyProtection="1">
      <alignment horizontal="center" vertical="center" wrapText="1"/>
    </xf>
    <xf numFmtId="0" fontId="50" fillId="0" borderId="33" xfId="0" applyFont="1" applyFill="1" applyBorder="1" applyAlignment="1" applyProtection="1">
      <alignment horizontal="center" vertical="center" wrapText="1"/>
    </xf>
    <xf numFmtId="0" fontId="50" fillId="0" borderId="33" xfId="0" applyFont="1" applyBorder="1" applyProtection="1"/>
    <xf numFmtId="165" fontId="50" fillId="0" borderId="5" xfId="0" applyNumberFormat="1" applyFont="1" applyFill="1" applyBorder="1" applyAlignment="1" applyProtection="1">
      <alignment horizontal="center" vertical="center"/>
    </xf>
    <xf numFmtId="169" fontId="50" fillId="0" borderId="53" xfId="0" applyNumberFormat="1" applyFont="1" applyFill="1" applyBorder="1" applyAlignment="1" applyProtection="1">
      <alignment horizontal="center" vertical="center"/>
    </xf>
    <xf numFmtId="0" fontId="19" fillId="9" borderId="1" xfId="0" applyFont="1" applyFill="1" applyBorder="1" applyAlignment="1" applyProtection="1">
      <alignment horizontal="center" vertical="center" wrapText="1"/>
      <protection hidden="1"/>
    </xf>
    <xf numFmtId="175" fontId="52" fillId="0" borderId="7" xfId="0" applyNumberFormat="1" applyFont="1" applyFill="1" applyBorder="1" applyAlignment="1" applyProtection="1">
      <alignment horizontal="center" vertical="center"/>
    </xf>
    <xf numFmtId="1" fontId="19" fillId="9" borderId="1" xfId="0" applyNumberFormat="1" applyFont="1" applyFill="1" applyBorder="1" applyAlignment="1" applyProtection="1">
      <alignment horizontal="center" vertical="center" wrapText="1"/>
      <protection hidden="1"/>
    </xf>
    <xf numFmtId="0" fontId="52" fillId="24" borderId="5" xfId="0" applyFont="1" applyFill="1" applyBorder="1" applyAlignment="1" applyProtection="1">
      <alignment horizontal="center"/>
    </xf>
    <xf numFmtId="0" fontId="52" fillId="24" borderId="5" xfId="0" applyFont="1" applyFill="1" applyBorder="1" applyAlignment="1" applyProtection="1">
      <alignment horizontal="center" vertical="center"/>
    </xf>
    <xf numFmtId="171" fontId="52" fillId="24" borderId="5" xfId="0" applyNumberFormat="1" applyFont="1" applyFill="1" applyBorder="1" applyAlignment="1" applyProtection="1">
      <alignment horizontal="center" vertical="center"/>
    </xf>
    <xf numFmtId="0" fontId="52" fillId="24" borderId="1" xfId="0" applyFont="1" applyFill="1" applyBorder="1" applyAlignment="1" applyProtection="1">
      <alignment horizontal="center" vertical="center"/>
    </xf>
    <xf numFmtId="0" fontId="52" fillId="24" borderId="20" xfId="0" applyFont="1" applyFill="1" applyBorder="1" applyAlignment="1" applyProtection="1">
      <alignment horizontal="center" vertical="center"/>
    </xf>
    <xf numFmtId="171" fontId="52" fillId="24" borderId="20" xfId="0" applyNumberFormat="1" applyFont="1" applyFill="1" applyBorder="1" applyAlignment="1" applyProtection="1">
      <alignment horizontal="center" vertical="center"/>
    </xf>
    <xf numFmtId="171" fontId="52" fillId="24" borderId="1" xfId="0" applyNumberFormat="1" applyFont="1" applyFill="1" applyBorder="1" applyAlignment="1" applyProtection="1">
      <alignment horizontal="center"/>
    </xf>
    <xf numFmtId="0" fontId="52" fillId="24" borderId="1" xfId="0" applyFont="1" applyFill="1" applyBorder="1" applyAlignment="1" applyProtection="1">
      <alignment horizontal="center"/>
    </xf>
    <xf numFmtId="171" fontId="52" fillId="24" borderId="8" xfId="0" applyNumberFormat="1" applyFont="1" applyFill="1" applyBorder="1" applyAlignment="1" applyProtection="1">
      <alignment horizontal="center" vertical="center"/>
    </xf>
    <xf numFmtId="0" fontId="52" fillId="24" borderId="8" xfId="0" applyFont="1" applyFill="1" applyBorder="1" applyAlignment="1" applyProtection="1">
      <alignment horizontal="center" vertical="center"/>
    </xf>
    <xf numFmtId="171" fontId="52" fillId="24" borderId="1" xfId="0" applyNumberFormat="1" applyFont="1" applyFill="1" applyBorder="1" applyAlignment="1" applyProtection="1">
      <alignment horizontal="center" vertical="center"/>
    </xf>
    <xf numFmtId="2" fontId="52" fillId="24" borderId="1" xfId="0" applyNumberFormat="1" applyFont="1" applyFill="1" applyBorder="1" applyAlignment="1" applyProtection="1">
      <alignment horizontal="center" vertical="center"/>
    </xf>
    <xf numFmtId="171" fontId="19" fillId="0" borderId="46" xfId="0" applyNumberFormat="1" applyFont="1" applyBorder="1" applyAlignment="1">
      <alignment horizontal="center" vertical="center"/>
    </xf>
    <xf numFmtId="171" fontId="19" fillId="0" borderId="20" xfId="0" applyNumberFormat="1" applyFont="1" applyBorder="1" applyAlignment="1">
      <alignment horizontal="center" vertical="center"/>
    </xf>
    <xf numFmtId="171" fontId="19" fillId="0" borderId="47" xfId="0" applyNumberFormat="1" applyFont="1" applyBorder="1" applyAlignment="1">
      <alignment horizontal="center" vertical="center"/>
    </xf>
    <xf numFmtId="2" fontId="25" fillId="6" borderId="34" xfId="0" applyNumberFormat="1" applyFont="1" applyFill="1" applyBorder="1" applyAlignment="1" applyProtection="1">
      <alignment horizontal="center" vertical="center" wrapText="1"/>
      <protection hidden="1"/>
    </xf>
    <xf numFmtId="0" fontId="61" fillId="0" borderId="37" xfId="0" applyFont="1" applyBorder="1" applyAlignment="1">
      <alignment horizontal="center" vertical="center" wrapText="1"/>
    </xf>
    <xf numFmtId="2" fontId="62" fillId="0" borderId="0" xfId="0" applyNumberFormat="1" applyFont="1" applyBorder="1" applyAlignment="1">
      <alignment horizontal="center" vertical="center" wrapText="1"/>
    </xf>
    <xf numFmtId="2" fontId="9" fillId="0" borderId="20" xfId="0" applyNumberFormat="1" applyFont="1" applyBorder="1" applyAlignment="1">
      <alignment horizontal="center" vertical="center" wrapText="1"/>
    </xf>
    <xf numFmtId="2" fontId="25" fillId="6" borderId="34" xfId="0" applyNumberFormat="1" applyFont="1" applyFill="1" applyBorder="1" applyAlignment="1" applyProtection="1">
      <alignment vertical="center" wrapText="1"/>
      <protection hidden="1"/>
    </xf>
    <xf numFmtId="0" fontId="0" fillId="0" borderId="6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171" fontId="19" fillId="9" borderId="37" xfId="0" applyNumberFormat="1" applyFont="1" applyFill="1" applyBorder="1" applyAlignment="1" applyProtection="1">
      <alignment horizontal="center" vertical="center"/>
      <protection hidden="1"/>
    </xf>
    <xf numFmtId="2" fontId="25" fillId="6" borderId="24" xfId="0" applyNumberFormat="1" applyFont="1" applyFill="1" applyBorder="1" applyAlignment="1" applyProtection="1">
      <alignment horizontal="center" vertical="center"/>
      <protection hidden="1"/>
    </xf>
    <xf numFmtId="176" fontId="19" fillId="4" borderId="22" xfId="0" applyNumberFormat="1" applyFont="1" applyFill="1" applyBorder="1" applyAlignment="1" applyProtection="1">
      <alignment horizontal="center" vertical="center"/>
      <protection locked="0"/>
    </xf>
    <xf numFmtId="171" fontId="19" fillId="9" borderId="28" xfId="0" applyNumberFormat="1" applyFont="1" applyFill="1" applyBorder="1" applyAlignment="1" applyProtection="1">
      <alignment horizontal="center" vertical="center"/>
      <protection hidden="1"/>
    </xf>
    <xf numFmtId="1" fontId="26" fillId="9" borderId="37" xfId="0" applyNumberFormat="1" applyFont="1" applyFill="1" applyBorder="1" applyAlignment="1" applyProtection="1">
      <alignment horizontal="center" vertical="center"/>
      <protection hidden="1"/>
    </xf>
    <xf numFmtId="0" fontId="52" fillId="24" borderId="63" xfId="0" applyFont="1" applyFill="1" applyBorder="1" applyAlignment="1" applyProtection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0" fontId="0" fillId="24" borderId="52" xfId="0" applyFill="1" applyBorder="1" applyAlignment="1">
      <alignment horizontal="center" vertical="center" wrapText="1"/>
    </xf>
    <xf numFmtId="3" fontId="52" fillId="22" borderId="48" xfId="0" applyNumberFormat="1" applyFont="1" applyFill="1" applyBorder="1" applyAlignment="1" applyProtection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3" fontId="52" fillId="24" borderId="55" xfId="0" applyNumberFormat="1" applyFont="1" applyFill="1" applyBorder="1" applyAlignment="1" applyProtection="1">
      <alignment horizontal="center" vertical="center" wrapText="1"/>
    </xf>
    <xf numFmtId="0" fontId="0" fillId="24" borderId="27" xfId="0" applyFill="1" applyBorder="1" applyAlignment="1">
      <alignment horizontal="center" vertical="center" wrapText="1"/>
    </xf>
    <xf numFmtId="0" fontId="0" fillId="24" borderId="53" xfId="0" applyFill="1" applyBorder="1" applyAlignment="1">
      <alignment horizontal="center" vertical="center" wrapText="1"/>
    </xf>
    <xf numFmtId="3" fontId="52" fillId="23" borderId="55" xfId="0" applyNumberFormat="1" applyFont="1" applyFill="1" applyBorder="1" applyAlignment="1" applyProtection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49" fontId="52" fillId="24" borderId="55" xfId="0" applyNumberFormat="1" applyFont="1" applyFill="1" applyBorder="1" applyAlignment="1" applyProtection="1">
      <alignment horizontal="center" vertical="center" wrapText="1"/>
    </xf>
    <xf numFmtId="0" fontId="52" fillId="24" borderId="1" xfId="0" applyFont="1" applyFill="1" applyBorder="1" applyAlignment="1" applyProtection="1">
      <alignment horizontal="center" vertical="center" wrapText="1"/>
    </xf>
    <xf numFmtId="0" fontId="0" fillId="24" borderId="1" xfId="0" applyFill="1" applyBorder="1" applyAlignment="1">
      <alignment horizontal="center" vertical="center" wrapText="1"/>
    </xf>
    <xf numFmtId="0" fontId="0" fillId="24" borderId="8" xfId="0" applyFill="1" applyBorder="1" applyAlignment="1">
      <alignment horizontal="center" vertical="center" wrapText="1"/>
    </xf>
    <xf numFmtId="1" fontId="52" fillId="24" borderId="1" xfId="0" applyNumberFormat="1" applyFont="1" applyFill="1" applyBorder="1" applyAlignment="1" applyProtection="1">
      <alignment horizontal="center" vertical="center" wrapText="1"/>
    </xf>
    <xf numFmtId="1" fontId="0" fillId="24" borderId="1" xfId="0" applyNumberFormat="1" applyFill="1" applyBorder="1" applyAlignment="1">
      <alignment horizontal="center" vertical="center" wrapText="1"/>
    </xf>
    <xf numFmtId="1" fontId="0" fillId="24" borderId="8" xfId="0" applyNumberFormat="1" applyFill="1" applyBorder="1" applyAlignment="1">
      <alignment horizontal="center" vertical="center" wrapText="1"/>
    </xf>
    <xf numFmtId="168" fontId="52" fillId="24" borderId="1" xfId="0" applyNumberFormat="1" applyFont="1" applyFill="1" applyBorder="1" applyAlignment="1" applyProtection="1">
      <alignment horizontal="center" vertical="center" wrapText="1"/>
    </xf>
    <xf numFmtId="168" fontId="52" fillId="24" borderId="45" xfId="0" applyNumberFormat="1" applyFont="1" applyFill="1" applyBorder="1" applyAlignment="1" applyProtection="1">
      <alignment horizontal="center" vertical="center" wrapText="1"/>
    </xf>
    <xf numFmtId="0" fontId="0" fillId="24" borderId="45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50" fillId="24" borderId="5" xfId="0" applyFont="1" applyFill="1" applyBorder="1" applyAlignment="1" applyProtection="1">
      <alignment horizontal="center" vertical="center"/>
    </xf>
    <xf numFmtId="0" fontId="50" fillId="24" borderId="1" xfId="0" applyFont="1" applyFill="1" applyBorder="1" applyAlignment="1" applyProtection="1">
      <alignment horizontal="center" vertical="center"/>
    </xf>
    <xf numFmtId="0" fontId="50" fillId="24" borderId="8" xfId="0" applyFont="1" applyFill="1" applyBorder="1" applyAlignment="1" applyProtection="1">
      <alignment horizontal="center" vertical="center"/>
    </xf>
    <xf numFmtId="171" fontId="52" fillId="24" borderId="5" xfId="0" applyNumberFormat="1" applyFont="1" applyFill="1" applyBorder="1" applyAlignment="1" applyProtection="1">
      <alignment horizontal="center" vertical="center" wrapText="1"/>
    </xf>
    <xf numFmtId="171" fontId="0" fillId="24" borderId="1" xfId="0" applyNumberFormat="1" applyFill="1" applyBorder="1" applyAlignment="1">
      <alignment horizontal="center" vertical="center" wrapText="1"/>
    </xf>
    <xf numFmtId="0" fontId="52" fillId="24" borderId="5" xfId="0" applyFont="1" applyFill="1" applyBorder="1" applyAlignment="1" applyProtection="1">
      <alignment horizontal="center" vertical="center" wrapText="1"/>
    </xf>
    <xf numFmtId="168" fontId="52" fillId="24" borderId="5" xfId="0" applyNumberFormat="1" applyFont="1" applyFill="1" applyBorder="1" applyAlignment="1" applyProtection="1">
      <alignment horizontal="center" vertical="center" wrapText="1"/>
    </xf>
    <xf numFmtId="168" fontId="52" fillId="24" borderId="42" xfId="0" applyNumberFormat="1" applyFont="1" applyFill="1" applyBorder="1" applyAlignment="1" applyProtection="1">
      <alignment horizontal="center" vertical="center" wrapText="1"/>
    </xf>
    <xf numFmtId="14" fontId="52" fillId="24" borderId="64" xfId="0" applyNumberFormat="1" applyFont="1" applyFill="1" applyBorder="1" applyAlignment="1" applyProtection="1">
      <alignment horizontal="center" vertical="center"/>
    </xf>
    <xf numFmtId="14" fontId="52" fillId="24" borderId="56" xfId="0" applyNumberFormat="1" applyFont="1" applyFill="1" applyBorder="1" applyAlignment="1" applyProtection="1">
      <alignment horizontal="center" vertical="center"/>
    </xf>
    <xf numFmtId="14" fontId="52" fillId="24" borderId="47" xfId="0" applyNumberFormat="1" applyFont="1" applyFill="1" applyBorder="1" applyAlignment="1" applyProtection="1">
      <alignment horizontal="center" vertical="center"/>
    </xf>
    <xf numFmtId="14" fontId="52" fillId="24" borderId="49" xfId="0" applyNumberFormat="1" applyFont="1" applyFill="1" applyBorder="1" applyAlignment="1" applyProtection="1">
      <alignment horizontal="center" vertical="center"/>
    </xf>
    <xf numFmtId="0" fontId="52" fillId="24" borderId="49" xfId="0" applyFont="1" applyFill="1" applyBorder="1" applyAlignment="1" applyProtection="1">
      <alignment horizontal="center" vertical="center"/>
    </xf>
    <xf numFmtId="0" fontId="52" fillId="24" borderId="56" xfId="0" applyFont="1" applyFill="1" applyBorder="1" applyAlignment="1" applyProtection="1">
      <alignment horizontal="center" vertical="center"/>
    </xf>
    <xf numFmtId="0" fontId="52" fillId="24" borderId="54" xfId="0" applyFont="1" applyFill="1" applyBorder="1" applyAlignment="1" applyProtection="1">
      <alignment horizontal="center" vertical="center"/>
    </xf>
    <xf numFmtId="0" fontId="52" fillId="23" borderId="64" xfId="0" applyFont="1" applyFill="1" applyBorder="1" applyAlignment="1" applyProtection="1">
      <alignment horizontal="center" vertical="center"/>
    </xf>
    <xf numFmtId="0" fontId="52" fillId="23" borderId="56" xfId="0" applyFont="1" applyFill="1" applyBorder="1" applyAlignment="1" applyProtection="1">
      <alignment horizontal="center" vertical="center"/>
    </xf>
    <xf numFmtId="0" fontId="52" fillId="23" borderId="47" xfId="0" applyFont="1" applyFill="1" applyBorder="1" applyAlignment="1" applyProtection="1">
      <alignment horizontal="center" vertical="center"/>
    </xf>
    <xf numFmtId="178" fontId="52" fillId="23" borderId="33" xfId="0" applyNumberFormat="1" applyFont="1" applyFill="1" applyBorder="1" applyAlignment="1" applyProtection="1">
      <alignment horizontal="center" vertical="center" wrapText="1"/>
    </xf>
    <xf numFmtId="178" fontId="52" fillId="23" borderId="27" xfId="0" applyNumberFormat="1" applyFont="1" applyFill="1" applyBorder="1" applyAlignment="1" applyProtection="1">
      <alignment horizontal="center" vertical="center" wrapText="1"/>
    </xf>
    <xf numFmtId="178" fontId="52" fillId="23" borderId="20" xfId="0" applyNumberFormat="1" applyFont="1" applyFill="1" applyBorder="1" applyAlignment="1" applyProtection="1">
      <alignment horizontal="center" vertical="center" wrapText="1"/>
    </xf>
    <xf numFmtId="3" fontId="52" fillId="23" borderId="33" xfId="0" applyNumberFormat="1" applyFont="1" applyFill="1" applyBorder="1" applyAlignment="1" applyProtection="1">
      <alignment horizontal="center" vertical="center" wrapText="1"/>
    </xf>
    <xf numFmtId="3" fontId="52" fillId="23" borderId="27" xfId="0" applyNumberFormat="1" applyFont="1" applyFill="1" applyBorder="1" applyAlignment="1" applyProtection="1">
      <alignment horizontal="center" vertical="center" wrapText="1"/>
    </xf>
    <xf numFmtId="3" fontId="52" fillId="23" borderId="20" xfId="0" applyNumberFormat="1" applyFont="1" applyFill="1" applyBorder="1" applyAlignment="1" applyProtection="1">
      <alignment horizontal="center" vertical="center" wrapText="1"/>
    </xf>
    <xf numFmtId="168" fontId="52" fillId="23" borderId="33" xfId="0" applyNumberFormat="1" applyFont="1" applyFill="1" applyBorder="1" applyAlignment="1" applyProtection="1">
      <alignment horizontal="center" vertical="center"/>
    </xf>
    <xf numFmtId="168" fontId="52" fillId="23" borderId="27" xfId="0" applyNumberFormat="1" applyFont="1" applyFill="1" applyBorder="1" applyAlignment="1" applyProtection="1">
      <alignment horizontal="center" vertical="center"/>
    </xf>
    <xf numFmtId="168" fontId="52" fillId="23" borderId="20" xfId="0" applyNumberFormat="1" applyFont="1" applyFill="1" applyBorder="1" applyAlignment="1" applyProtection="1">
      <alignment horizontal="center" vertical="center"/>
    </xf>
    <xf numFmtId="14" fontId="52" fillId="23" borderId="49" xfId="0" applyNumberFormat="1" applyFont="1" applyFill="1" applyBorder="1" applyAlignment="1" applyProtection="1">
      <alignment horizontal="center" vertical="center"/>
    </xf>
    <xf numFmtId="14" fontId="52" fillId="23" borderId="56" xfId="0" applyNumberFormat="1" applyFont="1" applyFill="1" applyBorder="1" applyAlignment="1" applyProtection="1">
      <alignment horizontal="center" vertical="center"/>
    </xf>
    <xf numFmtId="14" fontId="52" fillId="23" borderId="47" xfId="0" applyNumberFormat="1" applyFont="1" applyFill="1" applyBorder="1" applyAlignment="1" applyProtection="1">
      <alignment horizontal="center" vertical="center"/>
    </xf>
    <xf numFmtId="0" fontId="52" fillId="24" borderId="33" xfId="0" applyFont="1" applyFill="1" applyBorder="1" applyAlignment="1" applyProtection="1">
      <alignment horizontal="center" vertical="center"/>
    </xf>
    <xf numFmtId="0" fontId="52" fillId="24" borderId="27" xfId="0" applyFont="1" applyFill="1" applyBorder="1" applyAlignment="1" applyProtection="1">
      <alignment horizontal="center" vertical="center"/>
    </xf>
    <xf numFmtId="0" fontId="52" fillId="24" borderId="20" xfId="0" applyFont="1" applyFill="1" applyBorder="1" applyAlignment="1" applyProtection="1">
      <alignment horizontal="center" vertical="center"/>
    </xf>
    <xf numFmtId="0" fontId="52" fillId="24" borderId="53" xfId="0" applyFont="1" applyFill="1" applyBorder="1" applyAlignment="1" applyProtection="1">
      <alignment horizontal="center" vertical="center"/>
    </xf>
    <xf numFmtId="0" fontId="52" fillId="23" borderId="55" xfId="0" applyFont="1" applyFill="1" applyBorder="1" applyAlignment="1" applyProtection="1">
      <alignment horizontal="center" vertical="center" wrapText="1"/>
    </xf>
    <xf numFmtId="0" fontId="52" fillId="23" borderId="27" xfId="0" applyFont="1" applyFill="1" applyBorder="1" applyAlignment="1" applyProtection="1">
      <alignment horizontal="center" vertical="center" wrapText="1"/>
    </xf>
    <xf numFmtId="0" fontId="52" fillId="23" borderId="20" xfId="0" applyFont="1" applyFill="1" applyBorder="1" applyAlignment="1" applyProtection="1">
      <alignment horizontal="center" vertical="center" wrapText="1"/>
    </xf>
    <xf numFmtId="0" fontId="52" fillId="23" borderId="55" xfId="0" applyFont="1" applyFill="1" applyBorder="1" applyAlignment="1" applyProtection="1">
      <alignment horizontal="center" vertical="center"/>
    </xf>
    <xf numFmtId="0" fontId="52" fillId="23" borderId="27" xfId="0" applyFont="1" applyFill="1" applyBorder="1" applyAlignment="1" applyProtection="1">
      <alignment horizontal="center" vertical="center"/>
    </xf>
    <xf numFmtId="0" fontId="52" fillId="23" borderId="20" xfId="0" applyFont="1" applyFill="1" applyBorder="1" applyAlignment="1" applyProtection="1">
      <alignment horizontal="center" vertical="center"/>
    </xf>
    <xf numFmtId="168" fontId="52" fillId="23" borderId="55" xfId="0" applyNumberFormat="1" applyFont="1" applyFill="1" applyBorder="1" applyAlignment="1" applyProtection="1">
      <alignment horizontal="center" vertical="center"/>
    </xf>
    <xf numFmtId="0" fontId="51" fillId="24" borderId="44" xfId="0" applyFont="1" applyFill="1" applyBorder="1" applyAlignment="1" applyProtection="1">
      <alignment horizontal="center" vertical="center"/>
    </xf>
    <xf numFmtId="0" fontId="51" fillId="24" borderId="45" xfId="0" applyFont="1" applyFill="1" applyBorder="1" applyAlignment="1" applyProtection="1">
      <alignment horizontal="center" vertical="center"/>
    </xf>
    <xf numFmtId="0" fontId="51" fillId="24" borderId="7" xfId="0" applyFont="1" applyFill="1" applyBorder="1" applyAlignment="1" applyProtection="1">
      <alignment horizontal="center" vertical="center"/>
    </xf>
    <xf numFmtId="0" fontId="51" fillId="24" borderId="12" xfId="0" applyFont="1" applyFill="1" applyBorder="1" applyAlignment="1" applyProtection="1">
      <alignment horizontal="center" vertical="center"/>
    </xf>
    <xf numFmtId="0" fontId="29" fillId="6" borderId="24" xfId="0" applyFont="1" applyFill="1" applyBorder="1" applyAlignment="1" applyProtection="1">
      <alignment horizontal="center" vertical="center" wrapText="1"/>
    </xf>
    <xf numFmtId="0" fontId="29" fillId="6" borderId="0" xfId="0" applyFont="1" applyFill="1" applyBorder="1" applyAlignment="1" applyProtection="1">
      <alignment horizontal="center" vertical="center" wrapText="1"/>
    </xf>
    <xf numFmtId="0" fontId="29" fillId="6" borderId="41" xfId="0" applyFont="1" applyFill="1" applyBorder="1" applyAlignment="1" applyProtection="1">
      <alignment horizontal="center" vertical="center" wrapText="1"/>
    </xf>
    <xf numFmtId="0" fontId="29" fillId="6" borderId="18" xfId="0" applyFont="1" applyFill="1" applyBorder="1" applyAlignment="1" applyProtection="1">
      <alignment horizontal="center" vertical="center" wrapText="1"/>
    </xf>
    <xf numFmtId="0" fontId="29" fillId="6" borderId="29" xfId="0" applyFont="1" applyFill="1" applyBorder="1" applyAlignment="1" applyProtection="1">
      <alignment horizontal="center" vertical="center" wrapText="1"/>
    </xf>
    <xf numFmtId="0" fontId="29" fillId="6" borderId="47" xfId="0" applyFont="1" applyFill="1" applyBorder="1" applyAlignment="1" applyProtection="1">
      <alignment horizontal="center" vertical="center" wrapText="1"/>
    </xf>
    <xf numFmtId="0" fontId="29" fillId="6" borderId="49" xfId="0" applyFont="1" applyFill="1" applyBorder="1" applyAlignment="1" applyProtection="1">
      <alignment horizontal="center" vertical="center" wrapText="1"/>
    </xf>
    <xf numFmtId="168" fontId="50" fillId="0" borderId="20" xfId="0" applyNumberFormat="1" applyFont="1" applyBorder="1" applyAlignment="1" applyProtection="1">
      <alignment horizontal="center" vertical="center" wrapText="1"/>
    </xf>
    <xf numFmtId="168" fontId="50" fillId="0" borderId="1" xfId="0" applyNumberFormat="1" applyFont="1" applyBorder="1" applyAlignment="1" applyProtection="1">
      <alignment horizontal="center" vertical="center" wrapText="1"/>
    </xf>
    <xf numFmtId="168" fontId="50" fillId="0" borderId="8" xfId="0" applyNumberFormat="1" applyFont="1" applyBorder="1" applyAlignment="1" applyProtection="1">
      <alignment horizontal="center" vertical="center" wrapText="1"/>
    </xf>
    <xf numFmtId="0" fontId="50" fillId="0" borderId="47" xfId="0" applyFont="1" applyBorder="1" applyAlignment="1" applyProtection="1">
      <alignment horizontal="center" vertical="center" wrapText="1"/>
    </xf>
    <xf numFmtId="0" fontId="50" fillId="0" borderId="45" xfId="0" applyFont="1" applyBorder="1" applyAlignment="1" applyProtection="1">
      <alignment horizontal="center" vertical="center" wrapText="1"/>
    </xf>
    <xf numFmtId="0" fontId="50" fillId="0" borderId="12" xfId="0" applyFont="1" applyBorder="1" applyAlignment="1" applyProtection="1">
      <alignment horizontal="center" vertical="center" wrapText="1"/>
    </xf>
    <xf numFmtId="0" fontId="50" fillId="6" borderId="61" xfId="0" applyFont="1" applyFill="1" applyBorder="1" applyAlignment="1" applyProtection="1">
      <alignment horizontal="center" vertical="center"/>
    </xf>
    <xf numFmtId="168" fontId="50" fillId="0" borderId="5" xfId="0" applyNumberFormat="1" applyFont="1" applyBorder="1" applyAlignment="1" applyProtection="1">
      <alignment horizontal="center" vertical="center" wrapText="1"/>
    </xf>
    <xf numFmtId="0" fontId="50" fillId="0" borderId="42" xfId="0" applyFont="1" applyBorder="1" applyAlignment="1" applyProtection="1">
      <alignment horizontal="center" vertical="center" wrapText="1"/>
    </xf>
    <xf numFmtId="0" fontId="43" fillId="24" borderId="4" xfId="0" applyFont="1" applyFill="1" applyBorder="1" applyAlignment="1" applyProtection="1">
      <alignment horizontal="center" vertical="center"/>
    </xf>
    <xf numFmtId="0" fontId="50" fillId="24" borderId="42" xfId="0" applyFont="1" applyFill="1" applyBorder="1" applyAlignment="1" applyProtection="1">
      <alignment horizontal="center" vertical="center"/>
    </xf>
    <xf numFmtId="0" fontId="50" fillId="24" borderId="44" xfId="0" applyFont="1" applyFill="1" applyBorder="1" applyAlignment="1" applyProtection="1">
      <alignment horizontal="center" vertical="center"/>
    </xf>
    <xf numFmtId="0" fontId="50" fillId="24" borderId="45" xfId="0" applyFont="1" applyFill="1" applyBorder="1" applyAlignment="1" applyProtection="1">
      <alignment horizontal="center" vertical="center"/>
    </xf>
    <xf numFmtId="0" fontId="50" fillId="24" borderId="55" xfId="0" applyFont="1" applyFill="1" applyBorder="1" applyAlignment="1" applyProtection="1">
      <alignment horizontal="center" vertical="center"/>
    </xf>
    <xf numFmtId="0" fontId="50" fillId="24" borderId="27" xfId="0" applyFont="1" applyFill="1" applyBorder="1" applyAlignment="1" applyProtection="1">
      <alignment horizontal="center" vertical="center"/>
    </xf>
    <xf numFmtId="0" fontId="50" fillId="24" borderId="53" xfId="0" applyFont="1" applyFill="1" applyBorder="1" applyAlignment="1" applyProtection="1">
      <alignment horizontal="center" vertical="center"/>
    </xf>
    <xf numFmtId="0" fontId="50" fillId="23" borderId="55" xfId="0" applyFont="1" applyFill="1" applyBorder="1" applyAlignment="1" applyProtection="1">
      <alignment horizontal="center" vertical="center"/>
    </xf>
    <xf numFmtId="0" fontId="50" fillId="23" borderId="27" xfId="0" applyFont="1" applyFill="1" applyBorder="1" applyAlignment="1" applyProtection="1">
      <alignment horizontal="center" vertical="center"/>
    </xf>
    <xf numFmtId="0" fontId="50" fillId="23" borderId="53" xfId="0" applyFont="1" applyFill="1" applyBorder="1" applyAlignment="1" applyProtection="1">
      <alignment horizontal="center" vertical="center"/>
    </xf>
    <xf numFmtId="0" fontId="43" fillId="24" borderId="22" xfId="0" applyFont="1" applyFill="1" applyBorder="1" applyAlignment="1" applyProtection="1">
      <alignment horizontal="center" vertical="center"/>
    </xf>
    <xf numFmtId="0" fontId="50" fillId="24" borderId="23" xfId="0" applyFont="1" applyFill="1" applyBorder="1" applyAlignment="1" applyProtection="1">
      <alignment horizontal="center" vertical="center"/>
    </xf>
    <xf numFmtId="0" fontId="50" fillId="24" borderId="24" xfId="0" applyFont="1" applyFill="1" applyBorder="1" applyAlignment="1" applyProtection="1">
      <alignment horizontal="center" vertical="center"/>
    </xf>
    <xf numFmtId="0" fontId="50" fillId="24" borderId="41" xfId="0" applyFont="1" applyFill="1" applyBorder="1" applyAlignment="1" applyProtection="1">
      <alignment horizontal="center" vertical="center"/>
    </xf>
    <xf numFmtId="0" fontId="50" fillId="24" borderId="21" xfId="0" applyFont="1" applyFill="1" applyBorder="1" applyAlignment="1" applyProtection="1">
      <alignment horizontal="center" vertical="center"/>
    </xf>
    <xf numFmtId="0" fontId="50" fillId="24" borderId="6" xfId="0" applyFont="1" applyFill="1" applyBorder="1" applyAlignment="1" applyProtection="1">
      <alignment horizontal="center" vertical="center"/>
    </xf>
    <xf numFmtId="0" fontId="51" fillId="24" borderId="24" xfId="0" applyFont="1" applyFill="1" applyBorder="1" applyAlignment="1" applyProtection="1">
      <alignment horizontal="center" vertical="center"/>
    </xf>
    <xf numFmtId="0" fontId="51" fillId="24" borderId="41" xfId="0" applyFont="1" applyFill="1" applyBorder="1" applyAlignment="1" applyProtection="1">
      <alignment horizontal="center" vertical="center"/>
    </xf>
    <xf numFmtId="0" fontId="51" fillId="24" borderId="21" xfId="0" applyFont="1" applyFill="1" applyBorder="1" applyAlignment="1" applyProtection="1">
      <alignment horizontal="center" vertical="center"/>
    </xf>
    <xf numFmtId="0" fontId="51" fillId="24" borderId="6" xfId="0" applyFont="1" applyFill="1" applyBorder="1" applyAlignment="1" applyProtection="1">
      <alignment horizontal="center" vertical="center"/>
    </xf>
    <xf numFmtId="0" fontId="51" fillId="24" borderId="22" xfId="0" applyFont="1" applyFill="1" applyBorder="1" applyAlignment="1" applyProtection="1">
      <alignment horizontal="center" vertical="center"/>
    </xf>
    <xf numFmtId="0" fontId="51" fillId="24" borderId="23" xfId="0" applyFont="1" applyFill="1" applyBorder="1" applyAlignment="1" applyProtection="1">
      <alignment horizontal="center" vertical="center"/>
    </xf>
    <xf numFmtId="0" fontId="43" fillId="24" borderId="23" xfId="0" applyFont="1" applyFill="1" applyBorder="1" applyAlignment="1" applyProtection="1">
      <alignment horizontal="center" vertical="center"/>
    </xf>
    <xf numFmtId="0" fontId="43" fillId="24" borderId="24" xfId="0" applyFont="1" applyFill="1" applyBorder="1" applyAlignment="1" applyProtection="1">
      <alignment horizontal="center" vertical="center"/>
    </xf>
    <xf numFmtId="0" fontId="43" fillId="24" borderId="41" xfId="0" applyFont="1" applyFill="1" applyBorder="1" applyAlignment="1" applyProtection="1">
      <alignment horizontal="center" vertical="center"/>
    </xf>
    <xf numFmtId="0" fontId="43" fillId="24" borderId="21" xfId="0" applyFont="1" applyFill="1" applyBorder="1" applyAlignment="1" applyProtection="1">
      <alignment horizontal="center" vertical="center"/>
    </xf>
    <xf numFmtId="0" fontId="43" fillId="24" borderId="6" xfId="0" applyFont="1" applyFill="1" applyBorder="1" applyAlignment="1" applyProtection="1">
      <alignment horizontal="center" vertical="center"/>
    </xf>
    <xf numFmtId="0" fontId="51" fillId="23" borderId="22" xfId="0" applyFont="1" applyFill="1" applyBorder="1" applyAlignment="1" applyProtection="1">
      <alignment horizontal="center" vertical="center"/>
    </xf>
    <xf numFmtId="0" fontId="51" fillId="23" borderId="23" xfId="0" applyFont="1" applyFill="1" applyBorder="1" applyAlignment="1" applyProtection="1">
      <alignment horizontal="center" vertical="center"/>
    </xf>
    <xf numFmtId="0" fontId="51" fillId="23" borderId="24" xfId="0" applyFont="1" applyFill="1" applyBorder="1" applyAlignment="1" applyProtection="1">
      <alignment horizontal="center" vertical="center"/>
    </xf>
    <xf numFmtId="0" fontId="51" fillId="23" borderId="41" xfId="0" applyFont="1" applyFill="1" applyBorder="1" applyAlignment="1" applyProtection="1">
      <alignment horizontal="center" vertical="center"/>
    </xf>
    <xf numFmtId="0" fontId="51" fillId="23" borderId="21" xfId="0" applyFont="1" applyFill="1" applyBorder="1" applyAlignment="1" applyProtection="1">
      <alignment horizontal="center" vertical="center"/>
    </xf>
    <xf numFmtId="0" fontId="51" fillId="23" borderId="6" xfId="0" applyFont="1" applyFill="1" applyBorder="1" applyAlignment="1" applyProtection="1">
      <alignment horizontal="center" vertical="center"/>
    </xf>
    <xf numFmtId="0" fontId="52" fillId="23" borderId="63" xfId="0" applyFont="1" applyFill="1" applyBorder="1" applyAlignment="1" applyProtection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2" fillId="0" borderId="22" xfId="0" applyFont="1" applyFill="1" applyBorder="1" applyAlignment="1" applyProtection="1">
      <alignment horizontal="center" vertical="center"/>
    </xf>
    <xf numFmtId="0" fontId="52" fillId="0" borderId="24" xfId="0" applyFont="1" applyFill="1" applyBorder="1" applyAlignment="1" applyProtection="1">
      <alignment horizontal="center" vertical="center"/>
    </xf>
    <xf numFmtId="0" fontId="52" fillId="0" borderId="21" xfId="0" applyFont="1" applyFill="1" applyBorder="1" applyAlignment="1" applyProtection="1">
      <alignment horizontal="center" vertical="center"/>
    </xf>
    <xf numFmtId="0" fontId="43" fillId="6" borderId="42" xfId="0" applyFont="1" applyFill="1" applyBorder="1" applyAlignment="1" applyProtection="1">
      <alignment horizontal="center" vertical="center"/>
    </xf>
    <xf numFmtId="0" fontId="43" fillId="6" borderId="49" xfId="0" applyFont="1" applyFill="1" applyBorder="1" applyAlignment="1" applyProtection="1">
      <alignment horizontal="center" vertical="center"/>
    </xf>
    <xf numFmtId="0" fontId="51" fillId="13" borderId="22" xfId="0" applyFont="1" applyFill="1" applyBorder="1" applyAlignment="1" applyProtection="1">
      <alignment horizontal="center" vertical="center" wrapText="1"/>
    </xf>
    <xf numFmtId="0" fontId="51" fillId="13" borderId="32" xfId="0" applyFont="1" applyFill="1" applyBorder="1" applyAlignment="1" applyProtection="1">
      <alignment horizontal="center" vertical="center" wrapText="1"/>
    </xf>
    <xf numFmtId="0" fontId="51" fillId="13" borderId="23" xfId="0" applyFont="1" applyFill="1" applyBorder="1" applyAlignment="1" applyProtection="1">
      <alignment horizontal="center" vertical="center" wrapText="1"/>
    </xf>
    <xf numFmtId="0" fontId="51" fillId="13" borderId="21" xfId="0" applyFont="1" applyFill="1" applyBorder="1" applyAlignment="1" applyProtection="1">
      <alignment horizontal="center" vertical="center" wrapText="1"/>
    </xf>
    <xf numFmtId="0" fontId="51" fillId="13" borderId="43" xfId="0" applyFont="1" applyFill="1" applyBorder="1" applyAlignment="1" applyProtection="1">
      <alignment horizontal="center" vertical="center" wrapText="1"/>
    </xf>
    <xf numFmtId="0" fontId="51" fillId="13" borderId="6" xfId="0" applyFont="1" applyFill="1" applyBorder="1" applyAlignment="1" applyProtection="1">
      <alignment horizontal="center" vertical="center" wrapText="1"/>
    </xf>
    <xf numFmtId="0" fontId="50" fillId="0" borderId="34" xfId="0" applyFont="1" applyFill="1" applyBorder="1" applyAlignment="1" applyProtection="1">
      <alignment horizontal="center" vertical="center" wrapText="1"/>
    </xf>
    <xf numFmtId="0" fontId="50" fillId="0" borderId="61" xfId="0" applyFont="1" applyFill="1" applyBorder="1" applyAlignment="1" applyProtection="1">
      <alignment horizontal="center" vertical="center" wrapText="1"/>
    </xf>
    <xf numFmtId="0" fontId="50" fillId="0" borderId="35" xfId="0" applyFont="1" applyFill="1" applyBorder="1" applyAlignment="1" applyProtection="1">
      <alignment horizontal="center" vertical="center" wrapText="1"/>
    </xf>
    <xf numFmtId="0" fontId="50" fillId="0" borderId="22" xfId="0" applyFont="1" applyFill="1" applyBorder="1" applyAlignment="1" applyProtection="1">
      <alignment horizontal="center" vertical="center" wrapText="1"/>
    </xf>
    <xf numFmtId="0" fontId="50" fillId="0" borderId="24" xfId="0" applyFont="1" applyFill="1" applyBorder="1" applyAlignment="1" applyProtection="1">
      <alignment horizontal="center" vertical="center" wrapText="1"/>
    </xf>
    <xf numFmtId="0" fontId="50" fillId="0" borderId="21" xfId="0" applyFont="1" applyFill="1" applyBorder="1" applyAlignment="1" applyProtection="1">
      <alignment horizontal="center" vertical="center" wrapText="1"/>
    </xf>
    <xf numFmtId="0" fontId="50" fillId="0" borderId="4" xfId="0" applyFont="1" applyFill="1" applyBorder="1" applyAlignment="1" applyProtection="1">
      <alignment horizontal="center" vertical="center" wrapText="1"/>
    </xf>
    <xf numFmtId="0" fontId="50" fillId="0" borderId="44" xfId="0" applyFont="1" applyFill="1" applyBorder="1" applyAlignment="1" applyProtection="1">
      <alignment horizontal="center" vertical="center" wrapText="1"/>
    </xf>
    <xf numFmtId="0" fontId="50" fillId="0" borderId="48" xfId="0" applyFont="1" applyFill="1" applyBorder="1" applyAlignment="1" applyProtection="1">
      <alignment horizontal="center" vertical="center" wrapText="1"/>
    </xf>
    <xf numFmtId="0" fontId="43" fillId="6" borderId="62" xfId="0" applyFont="1" applyFill="1" applyBorder="1" applyAlignment="1" applyProtection="1">
      <alignment horizontal="center" vertical="center" wrapText="1"/>
    </xf>
    <xf numFmtId="0" fontId="43" fillId="6" borderId="26" xfId="0" applyFont="1" applyFill="1" applyBorder="1" applyAlignment="1" applyProtection="1">
      <alignment horizontal="center" vertical="center" wrapText="1"/>
    </xf>
    <xf numFmtId="0" fontId="43" fillId="6" borderId="5" xfId="0" applyFont="1" applyFill="1" applyBorder="1" applyAlignment="1" applyProtection="1">
      <alignment horizontal="center" vertical="center" wrapText="1"/>
    </xf>
    <xf numFmtId="0" fontId="43" fillId="6" borderId="33" xfId="0" applyFont="1" applyFill="1" applyBorder="1" applyAlignment="1" applyProtection="1">
      <alignment horizontal="center" vertical="center" wrapText="1"/>
    </xf>
    <xf numFmtId="0" fontId="43" fillId="6" borderId="14" xfId="0" applyFont="1" applyFill="1" applyBorder="1" applyAlignment="1" applyProtection="1">
      <alignment horizontal="center" vertical="center"/>
    </xf>
    <xf numFmtId="0" fontId="43" fillId="6" borderId="15" xfId="0" applyFont="1" applyFill="1" applyBorder="1" applyAlignment="1" applyProtection="1">
      <alignment horizontal="center" vertical="center"/>
    </xf>
    <xf numFmtId="0" fontId="43" fillId="6" borderId="16" xfId="0" applyFont="1" applyFill="1" applyBorder="1" applyAlignment="1" applyProtection="1">
      <alignment horizontal="center" vertical="center"/>
    </xf>
    <xf numFmtId="0" fontId="43" fillId="6" borderId="4" xfId="0" applyFont="1" applyFill="1" applyBorder="1" applyAlignment="1" applyProtection="1">
      <alignment horizontal="center" vertical="center"/>
    </xf>
    <xf numFmtId="0" fontId="43" fillId="6" borderId="48" xfId="0" applyFont="1" applyFill="1" applyBorder="1" applyAlignment="1" applyProtection="1">
      <alignment horizontal="center" vertical="center"/>
    </xf>
    <xf numFmtId="0" fontId="43" fillId="6" borderId="5" xfId="0" applyFont="1" applyFill="1" applyBorder="1" applyAlignment="1" applyProtection="1">
      <alignment horizontal="center" vertical="center"/>
    </xf>
    <xf numFmtId="0" fontId="43" fillId="6" borderId="33" xfId="0" applyFont="1" applyFill="1" applyBorder="1" applyAlignment="1" applyProtection="1">
      <alignment horizontal="center" vertical="center"/>
    </xf>
    <xf numFmtId="0" fontId="54" fillId="13" borderId="14" xfId="0" applyFont="1" applyFill="1" applyBorder="1" applyAlignment="1" applyProtection="1">
      <alignment horizontal="center" vertical="center"/>
    </xf>
    <xf numFmtId="0" fontId="54" fillId="13" borderId="15" xfId="0" applyFont="1" applyFill="1" applyBorder="1" applyAlignment="1" applyProtection="1">
      <alignment horizontal="center" vertical="center"/>
    </xf>
    <xf numFmtId="0" fontId="54" fillId="13" borderId="16" xfId="0" applyFont="1" applyFill="1" applyBorder="1" applyAlignment="1" applyProtection="1">
      <alignment horizontal="center" vertical="center"/>
    </xf>
    <xf numFmtId="0" fontId="43" fillId="6" borderId="55" xfId="0" applyFont="1" applyFill="1" applyBorder="1" applyAlignment="1" applyProtection="1">
      <alignment horizontal="center" vertical="center" wrapText="1"/>
    </xf>
    <xf numFmtId="0" fontId="43" fillId="6" borderId="27" xfId="0" applyFont="1" applyFill="1" applyBorder="1" applyAlignment="1" applyProtection="1">
      <alignment horizontal="center" vertical="center" wrapText="1"/>
    </xf>
    <xf numFmtId="49" fontId="43" fillId="6" borderId="46" xfId="2" applyNumberFormat="1" applyFont="1" applyFill="1" applyBorder="1" applyAlignment="1" applyProtection="1">
      <alignment horizontal="center" vertical="center" wrapText="1"/>
    </xf>
    <xf numFmtId="49" fontId="43" fillId="6" borderId="48" xfId="2" applyNumberFormat="1" applyFont="1" applyFill="1" applyBorder="1" applyAlignment="1" applyProtection="1">
      <alignment horizontal="center" vertical="center" wrapText="1"/>
    </xf>
    <xf numFmtId="49" fontId="43" fillId="6" borderId="20" xfId="2" applyNumberFormat="1" applyFont="1" applyFill="1" applyBorder="1" applyAlignment="1" applyProtection="1">
      <alignment horizontal="center" vertical="center" wrapText="1"/>
    </xf>
    <xf numFmtId="49" fontId="43" fillId="6" borderId="33" xfId="2" applyNumberFormat="1" applyFont="1" applyFill="1" applyBorder="1" applyAlignment="1" applyProtection="1">
      <alignment horizontal="center" vertical="center" wrapText="1"/>
    </xf>
    <xf numFmtId="49" fontId="43" fillId="6" borderId="47" xfId="2" applyNumberFormat="1" applyFont="1" applyFill="1" applyBorder="1" applyAlignment="1" applyProtection="1">
      <alignment horizontal="center" vertical="center" wrapText="1"/>
    </xf>
    <xf numFmtId="49" fontId="43" fillId="6" borderId="49" xfId="2" applyNumberFormat="1" applyFont="1" applyFill="1" applyBorder="1" applyAlignment="1" applyProtection="1">
      <alignment horizontal="center" vertical="center" wrapText="1"/>
    </xf>
    <xf numFmtId="0" fontId="51" fillId="13" borderId="4" xfId="0" applyFont="1" applyFill="1" applyBorder="1" applyAlignment="1" applyProtection="1">
      <alignment horizontal="center" vertical="center" wrapText="1"/>
    </xf>
    <xf numFmtId="0" fontId="51" fillId="13" borderId="5" xfId="0" applyFont="1" applyFill="1" applyBorder="1" applyAlignment="1" applyProtection="1">
      <alignment horizontal="center" vertical="center" wrapText="1"/>
    </xf>
    <xf numFmtId="0" fontId="51" fillId="13" borderId="42" xfId="0" applyFont="1" applyFill="1" applyBorder="1" applyAlignment="1" applyProtection="1">
      <alignment horizontal="center" vertical="center" wrapText="1"/>
    </xf>
    <xf numFmtId="0" fontId="51" fillId="13" borderId="48" xfId="0" applyFont="1" applyFill="1" applyBorder="1" applyAlignment="1" applyProtection="1">
      <alignment horizontal="center" vertical="center" wrapText="1"/>
    </xf>
    <xf numFmtId="0" fontId="51" fillId="13" borderId="33" xfId="0" applyFont="1" applyFill="1" applyBorder="1" applyAlignment="1" applyProtection="1">
      <alignment horizontal="center" vertical="center" wrapText="1"/>
    </xf>
    <xf numFmtId="0" fontId="51" fillId="13" borderId="49" xfId="0" applyFont="1" applyFill="1" applyBorder="1" applyAlignment="1" applyProtection="1">
      <alignment horizontal="center" vertical="center" wrapText="1"/>
    </xf>
    <xf numFmtId="49" fontId="43" fillId="6" borderId="4" xfId="0" applyNumberFormat="1" applyFont="1" applyFill="1" applyBorder="1" applyAlignment="1" applyProtection="1">
      <alignment horizontal="center" vertical="center"/>
    </xf>
    <xf numFmtId="49" fontId="43" fillId="6" borderId="7" xfId="0" applyNumberFormat="1" applyFont="1" applyFill="1" applyBorder="1" applyAlignment="1" applyProtection="1">
      <alignment horizontal="center" vertical="center"/>
    </xf>
    <xf numFmtId="49" fontId="43" fillId="6" borderId="5" xfId="0" applyNumberFormat="1" applyFont="1" applyFill="1" applyBorder="1" applyAlignment="1" applyProtection="1">
      <alignment horizontal="center" vertical="center" wrapText="1"/>
    </xf>
    <xf numFmtId="49" fontId="43" fillId="6" borderId="8" xfId="0" applyNumberFormat="1" applyFont="1" applyFill="1" applyBorder="1" applyAlignment="1" applyProtection="1">
      <alignment horizontal="center" vertical="center" wrapText="1"/>
    </xf>
    <xf numFmtId="49" fontId="20" fillId="6" borderId="55" xfId="2" applyNumberFormat="1" applyFont="1" applyFill="1" applyBorder="1" applyAlignment="1" applyProtection="1">
      <alignment horizontal="center" vertical="center"/>
    </xf>
    <xf numFmtId="49" fontId="20" fillId="6" borderId="53" xfId="2" applyNumberFormat="1" applyFont="1" applyFill="1" applyBorder="1" applyAlignment="1" applyProtection="1">
      <alignment horizontal="center" vertical="center"/>
    </xf>
    <xf numFmtId="49" fontId="29" fillId="6" borderId="5" xfId="0" applyNumberFormat="1" applyFont="1" applyFill="1" applyBorder="1" applyAlignment="1" applyProtection="1">
      <alignment horizontal="center" vertical="center" wrapText="1"/>
    </xf>
    <xf numFmtId="49" fontId="29" fillId="6" borderId="8" xfId="0" applyNumberFormat="1" applyFont="1" applyFill="1" applyBorder="1" applyAlignment="1" applyProtection="1">
      <alignment horizontal="center" vertical="center" wrapText="1"/>
    </xf>
    <xf numFmtId="49" fontId="43" fillId="6" borderId="5" xfId="2" applyNumberFormat="1" applyFont="1" applyFill="1" applyBorder="1" applyAlignment="1" applyProtection="1">
      <alignment horizontal="center" vertical="center" wrapText="1"/>
    </xf>
    <xf numFmtId="49" fontId="43" fillId="6" borderId="8" xfId="2" applyNumberFormat="1" applyFont="1" applyFill="1" applyBorder="1" applyAlignment="1" applyProtection="1">
      <alignment horizontal="center" vertical="center" wrapText="1"/>
    </xf>
    <xf numFmtId="49" fontId="43" fillId="6" borderId="42" xfId="0" applyNumberFormat="1" applyFont="1" applyFill="1" applyBorder="1" applyAlignment="1" applyProtection="1">
      <alignment horizontal="center" vertical="center" wrapText="1"/>
    </xf>
    <xf numFmtId="49" fontId="43" fillId="6" borderId="12" xfId="0" applyNumberFormat="1" applyFont="1" applyFill="1" applyBorder="1" applyAlignment="1" applyProtection="1">
      <alignment horizontal="center" vertical="center" wrapText="1"/>
    </xf>
    <xf numFmtId="0" fontId="51" fillId="13" borderId="22" xfId="0" applyFont="1" applyFill="1" applyBorder="1" applyAlignment="1" applyProtection="1">
      <alignment horizontal="center" vertical="center"/>
    </xf>
    <xf numFmtId="0" fontId="51" fillId="13" borderId="32" xfId="0" applyFont="1" applyFill="1" applyBorder="1" applyAlignment="1" applyProtection="1">
      <alignment horizontal="center" vertical="center"/>
    </xf>
    <xf numFmtId="0" fontId="51" fillId="13" borderId="23" xfId="0" applyFont="1" applyFill="1" applyBorder="1" applyAlignment="1" applyProtection="1">
      <alignment horizontal="center" vertical="center"/>
    </xf>
    <xf numFmtId="0" fontId="51" fillId="13" borderId="21" xfId="0" applyFont="1" applyFill="1" applyBorder="1" applyAlignment="1" applyProtection="1">
      <alignment horizontal="center" vertical="center"/>
    </xf>
    <xf numFmtId="0" fontId="51" fillId="13" borderId="43" xfId="0" applyFont="1" applyFill="1" applyBorder="1" applyAlignment="1" applyProtection="1">
      <alignment horizontal="center" vertical="center"/>
    </xf>
    <xf numFmtId="0" fontId="51" fillId="13" borderId="6" xfId="0" applyFont="1" applyFill="1" applyBorder="1" applyAlignment="1" applyProtection="1">
      <alignment horizontal="center" vertical="center"/>
    </xf>
    <xf numFmtId="0" fontId="51" fillId="13" borderId="14" xfId="0" applyFont="1" applyFill="1" applyBorder="1" applyAlignment="1" applyProtection="1">
      <alignment horizontal="center" vertical="center"/>
    </xf>
    <xf numFmtId="0" fontId="51" fillId="13" borderId="15" xfId="0" applyFont="1" applyFill="1" applyBorder="1" applyAlignment="1" applyProtection="1">
      <alignment horizontal="center" vertical="center"/>
    </xf>
    <xf numFmtId="0" fontId="51" fillId="13" borderId="16" xfId="0" applyFont="1" applyFill="1" applyBorder="1" applyAlignment="1" applyProtection="1">
      <alignment horizontal="center" vertical="center"/>
    </xf>
    <xf numFmtId="0" fontId="52" fillId="24" borderId="55" xfId="0" applyFont="1" applyFill="1" applyBorder="1" applyAlignment="1" applyProtection="1">
      <alignment horizontal="center" vertical="center"/>
    </xf>
    <xf numFmtId="0" fontId="29" fillId="6" borderId="59" xfId="0" applyFont="1" applyFill="1" applyBorder="1" applyAlignment="1" applyProtection="1">
      <alignment horizontal="center" vertical="center"/>
    </xf>
    <xf numFmtId="0" fontId="29" fillId="6" borderId="32" xfId="0" applyFont="1" applyFill="1" applyBorder="1" applyAlignment="1" applyProtection="1">
      <alignment horizontal="center" vertical="center"/>
    </xf>
    <xf numFmtId="0" fontId="29" fillId="6" borderId="23" xfId="0" applyFont="1" applyFill="1" applyBorder="1" applyAlignment="1" applyProtection="1">
      <alignment horizontal="center" vertical="center"/>
    </xf>
    <xf numFmtId="0" fontId="29" fillId="6" borderId="60" xfId="0" applyFont="1" applyFill="1" applyBorder="1" applyAlignment="1" applyProtection="1">
      <alignment horizontal="center" vertical="center"/>
    </xf>
    <xf numFmtId="0" fontId="29" fillId="6" borderId="43" xfId="0" applyFont="1" applyFill="1" applyBorder="1" applyAlignment="1" applyProtection="1">
      <alignment horizontal="center" vertical="center"/>
    </xf>
    <xf numFmtId="0" fontId="29" fillId="6" borderId="6" xfId="0" applyFont="1" applyFill="1" applyBorder="1" applyAlignment="1" applyProtection="1">
      <alignment horizontal="center" vertical="center"/>
    </xf>
    <xf numFmtId="0" fontId="29" fillId="6" borderId="46" xfId="0" applyFont="1" applyFill="1" applyBorder="1" applyAlignment="1" applyProtection="1">
      <alignment horizontal="center" vertical="center" wrapText="1"/>
    </xf>
    <xf numFmtId="0" fontId="29" fillId="6" borderId="48" xfId="0" applyFont="1" applyFill="1" applyBorder="1" applyAlignment="1" applyProtection="1">
      <alignment horizontal="center" vertical="center" wrapText="1"/>
    </xf>
    <xf numFmtId="0" fontId="29" fillId="6" borderId="20" xfId="0" applyFont="1" applyFill="1" applyBorder="1" applyAlignment="1" applyProtection="1">
      <alignment horizontal="center" vertical="center" wrapText="1"/>
    </xf>
    <xf numFmtId="0" fontId="29" fillId="6" borderId="33" xfId="0" applyFont="1" applyFill="1" applyBorder="1" applyAlignment="1" applyProtection="1">
      <alignment horizontal="center" vertical="center" wrapText="1"/>
    </xf>
    <xf numFmtId="0" fontId="52" fillId="6" borderId="4" xfId="0" applyFont="1" applyFill="1" applyBorder="1" applyAlignment="1" applyProtection="1">
      <alignment horizontal="center" vertical="center"/>
    </xf>
    <xf numFmtId="0" fontId="52" fillId="6" borderId="7" xfId="0" applyFont="1" applyFill="1" applyBorder="1" applyAlignment="1" applyProtection="1">
      <alignment horizontal="center" vertical="center"/>
    </xf>
    <xf numFmtId="0" fontId="54" fillId="13" borderId="22" xfId="0" applyFont="1" applyFill="1" applyBorder="1" applyAlignment="1" applyProtection="1">
      <alignment horizontal="center" vertical="center"/>
    </xf>
    <xf numFmtId="0" fontId="54" fillId="13" borderId="32" xfId="0" applyFont="1" applyFill="1" applyBorder="1" applyAlignment="1" applyProtection="1">
      <alignment horizontal="center" vertical="center"/>
    </xf>
    <xf numFmtId="0" fontId="54" fillId="13" borderId="23" xfId="0" applyFont="1" applyFill="1" applyBorder="1" applyAlignment="1" applyProtection="1">
      <alignment horizontal="center" vertical="center"/>
    </xf>
    <xf numFmtId="0" fontId="54" fillId="13" borderId="21" xfId="0" applyFont="1" applyFill="1" applyBorder="1" applyAlignment="1" applyProtection="1">
      <alignment horizontal="center" vertical="center"/>
    </xf>
    <xf numFmtId="0" fontId="54" fillId="13" borderId="43" xfId="0" applyFont="1" applyFill="1" applyBorder="1" applyAlignment="1" applyProtection="1">
      <alignment horizontal="center" vertical="center"/>
    </xf>
    <xf numFmtId="0" fontId="54" fillId="13" borderId="6" xfId="0" applyFont="1" applyFill="1" applyBorder="1" applyAlignment="1" applyProtection="1">
      <alignment horizontal="center" vertical="center"/>
    </xf>
    <xf numFmtId="4" fontId="52" fillId="23" borderId="33" xfId="0" applyNumberFormat="1" applyFont="1" applyFill="1" applyBorder="1" applyAlignment="1" applyProtection="1">
      <alignment horizontal="center" vertical="center" wrapText="1"/>
    </xf>
    <xf numFmtId="4" fontId="52" fillId="23" borderId="27" xfId="0" applyNumberFormat="1" applyFont="1" applyFill="1" applyBorder="1" applyAlignment="1" applyProtection="1">
      <alignment horizontal="center" vertical="center" wrapText="1"/>
    </xf>
    <xf numFmtId="4" fontId="52" fillId="23" borderId="53" xfId="0" applyNumberFormat="1" applyFont="1" applyFill="1" applyBorder="1" applyAlignment="1" applyProtection="1">
      <alignment horizontal="center" vertical="center" wrapText="1"/>
    </xf>
    <xf numFmtId="3" fontId="52" fillId="23" borderId="53" xfId="0" applyNumberFormat="1" applyFont="1" applyFill="1" applyBorder="1" applyAlignment="1" applyProtection="1">
      <alignment horizontal="center" vertical="center" wrapText="1"/>
    </xf>
    <xf numFmtId="168" fontId="52" fillId="23" borderId="53" xfId="0" applyNumberFormat="1" applyFont="1" applyFill="1" applyBorder="1" applyAlignment="1" applyProtection="1">
      <alignment horizontal="center" vertical="center"/>
    </xf>
    <xf numFmtId="14" fontId="52" fillId="23" borderId="49" xfId="0" applyNumberFormat="1" applyFont="1" applyFill="1" applyBorder="1" applyAlignment="1" applyProtection="1">
      <alignment horizontal="center" vertical="center" wrapText="1"/>
    </xf>
    <xf numFmtId="14" fontId="52" fillId="23" borderId="56" xfId="0" applyNumberFormat="1" applyFont="1" applyFill="1" applyBorder="1" applyAlignment="1" applyProtection="1">
      <alignment horizontal="center" vertical="center" wrapText="1"/>
    </xf>
    <xf numFmtId="14" fontId="52" fillId="23" borderId="54" xfId="0" applyNumberFormat="1" applyFont="1" applyFill="1" applyBorder="1" applyAlignment="1" applyProtection="1">
      <alignment horizontal="center" vertical="center" wrapText="1"/>
    </xf>
    <xf numFmtId="168" fontId="52" fillId="24" borderId="55" xfId="0" applyNumberFormat="1" applyFont="1" applyFill="1" applyBorder="1" applyAlignment="1" applyProtection="1">
      <alignment horizontal="center" vertical="center"/>
    </xf>
    <xf numFmtId="168" fontId="52" fillId="24" borderId="27" xfId="0" applyNumberFormat="1" applyFont="1" applyFill="1" applyBorder="1" applyAlignment="1" applyProtection="1">
      <alignment horizontal="center" vertical="center"/>
    </xf>
    <xf numFmtId="168" fontId="52" fillId="24" borderId="20" xfId="0" applyNumberFormat="1" applyFont="1" applyFill="1" applyBorder="1" applyAlignment="1" applyProtection="1">
      <alignment horizontal="center" vertical="center"/>
    </xf>
    <xf numFmtId="168" fontId="52" fillId="24" borderId="33" xfId="0" applyNumberFormat="1" applyFont="1" applyFill="1" applyBorder="1" applyAlignment="1" applyProtection="1">
      <alignment horizontal="center" vertical="center"/>
    </xf>
    <xf numFmtId="168" fontId="52" fillId="24" borderId="53" xfId="0" applyNumberFormat="1" applyFont="1" applyFill="1" applyBorder="1" applyAlignment="1" applyProtection="1">
      <alignment horizontal="center" vertical="center"/>
    </xf>
    <xf numFmtId="2" fontId="19" fillId="14" borderId="14" xfId="3" applyFont="1" applyBorder="1" applyAlignment="1" applyProtection="1">
      <alignment horizontal="center" vertical="center" wrapText="1"/>
      <protection locked="0"/>
    </xf>
    <xf numFmtId="2" fontId="19" fillId="14" borderId="16" xfId="3" applyFont="1" applyBorder="1" applyAlignment="1" applyProtection="1">
      <alignment horizontal="center" vertical="center" wrapText="1"/>
      <protection locked="0"/>
    </xf>
    <xf numFmtId="2" fontId="25" fillId="9" borderId="14" xfId="0" applyNumberFormat="1" applyFont="1" applyFill="1" applyBorder="1" applyAlignment="1" applyProtection="1">
      <alignment horizontal="left" vertical="center" wrapText="1"/>
      <protection hidden="1"/>
    </xf>
    <xf numFmtId="2" fontId="25" fillId="9" borderId="16" xfId="0" applyNumberFormat="1" applyFont="1" applyFill="1" applyBorder="1" applyAlignment="1" applyProtection="1">
      <alignment horizontal="left" vertical="center" wrapText="1"/>
      <protection hidden="1"/>
    </xf>
    <xf numFmtId="2" fontId="25" fillId="6" borderId="2" xfId="0" applyNumberFormat="1" applyFont="1" applyFill="1" applyBorder="1" applyAlignment="1" applyProtection="1">
      <alignment horizontal="left" vertical="center" wrapText="1"/>
      <protection hidden="1"/>
    </xf>
    <xf numFmtId="2" fontId="25" fillId="6" borderId="19" xfId="0" applyNumberFormat="1" applyFont="1" applyFill="1" applyBorder="1" applyAlignment="1" applyProtection="1">
      <alignment horizontal="left" vertical="center" wrapText="1"/>
      <protection hidden="1"/>
    </xf>
    <xf numFmtId="2" fontId="25" fillId="6" borderId="28" xfId="0" applyNumberFormat="1" applyFont="1" applyFill="1" applyBorder="1" applyAlignment="1" applyProtection="1">
      <alignment horizontal="left" vertical="center" wrapText="1"/>
      <protection hidden="1"/>
    </xf>
    <xf numFmtId="2" fontId="25" fillId="6" borderId="29" xfId="0" applyNumberFormat="1" applyFont="1" applyFill="1" applyBorder="1" applyAlignment="1" applyProtection="1">
      <alignment horizontal="left" vertical="center" wrapText="1"/>
      <protection hidden="1"/>
    </xf>
    <xf numFmtId="2" fontId="22" fillId="3" borderId="14" xfId="0" applyNumberFormat="1" applyFont="1" applyFill="1" applyBorder="1" applyAlignment="1" applyProtection="1">
      <alignment horizontal="center" vertical="center" wrapText="1"/>
      <protection hidden="1"/>
    </xf>
    <xf numFmtId="2" fontId="22" fillId="3" borderId="15" xfId="0" applyNumberFormat="1" applyFont="1" applyFill="1" applyBorder="1" applyAlignment="1" applyProtection="1">
      <alignment horizontal="center" vertical="center" wrapText="1"/>
      <protection hidden="1"/>
    </xf>
    <xf numFmtId="2" fontId="22" fillId="3" borderId="16" xfId="0" applyNumberFormat="1" applyFont="1" applyFill="1" applyBorder="1" applyAlignment="1" applyProtection="1">
      <alignment horizontal="center" vertical="center" wrapText="1"/>
      <protection hidden="1"/>
    </xf>
    <xf numFmtId="2" fontId="42" fillId="3" borderId="14" xfId="0" applyNumberFormat="1" applyFont="1" applyFill="1" applyBorder="1" applyAlignment="1" applyProtection="1">
      <alignment horizontal="center" vertical="center"/>
      <protection hidden="1"/>
    </xf>
    <xf numFmtId="2" fontId="42" fillId="3" borderId="15" xfId="0" applyNumberFormat="1" applyFont="1" applyFill="1" applyBorder="1" applyAlignment="1" applyProtection="1">
      <alignment horizontal="center" vertical="center"/>
      <protection hidden="1"/>
    </xf>
    <xf numFmtId="2" fontId="42" fillId="3" borderId="16" xfId="0" applyNumberFormat="1" applyFont="1" applyFill="1" applyBorder="1" applyAlignment="1" applyProtection="1">
      <alignment horizontal="center" vertical="center"/>
      <protection hidden="1"/>
    </xf>
    <xf numFmtId="2" fontId="30" fillId="6" borderId="27" xfId="0" applyNumberFormat="1" applyFont="1" applyFill="1" applyBorder="1" applyAlignment="1" applyProtection="1">
      <alignment horizontal="center" vertical="center" wrapText="1"/>
      <protection hidden="1"/>
    </xf>
    <xf numFmtId="2" fontId="42" fillId="8" borderId="14" xfId="0" applyNumberFormat="1" applyFont="1" applyFill="1" applyBorder="1" applyAlignment="1" applyProtection="1">
      <alignment horizontal="center" vertical="center" wrapText="1"/>
      <protection hidden="1"/>
    </xf>
    <xf numFmtId="2" fontId="42" fillId="8" borderId="15" xfId="0" applyNumberFormat="1" applyFont="1" applyFill="1" applyBorder="1" applyAlignment="1" applyProtection="1">
      <alignment horizontal="center" vertical="center" wrapText="1"/>
      <protection hidden="1"/>
    </xf>
    <xf numFmtId="2" fontId="42" fillId="8" borderId="16" xfId="0" applyNumberFormat="1" applyFont="1" applyFill="1" applyBorder="1" applyAlignment="1" applyProtection="1">
      <alignment horizontal="center" vertical="center" wrapText="1"/>
      <protection hidden="1"/>
    </xf>
    <xf numFmtId="2" fontId="19" fillId="2" borderId="17" xfId="0" applyNumberFormat="1" applyFont="1" applyFill="1" applyBorder="1" applyAlignment="1" applyProtection="1">
      <alignment horizontal="left" vertical="center"/>
      <protection hidden="1"/>
    </xf>
    <xf numFmtId="2" fontId="19" fillId="2" borderId="25" xfId="0" applyNumberFormat="1" applyFont="1" applyFill="1" applyBorder="1" applyAlignment="1" applyProtection="1">
      <alignment horizontal="left" vertical="center"/>
      <protection hidden="1"/>
    </xf>
    <xf numFmtId="2" fontId="19" fillId="2" borderId="18" xfId="0" applyNumberFormat="1" applyFont="1" applyFill="1" applyBorder="1" applyAlignment="1" applyProtection="1">
      <alignment horizontal="left" vertical="center"/>
      <protection hidden="1"/>
    </xf>
    <xf numFmtId="2" fontId="19" fillId="2" borderId="2" xfId="0" applyNumberFormat="1" applyFont="1" applyFill="1" applyBorder="1" applyAlignment="1" applyProtection="1">
      <alignment horizontal="left" vertical="center"/>
      <protection hidden="1"/>
    </xf>
    <xf numFmtId="2" fontId="19" fillId="2" borderId="19" xfId="0" applyNumberFormat="1" applyFont="1" applyFill="1" applyBorder="1" applyAlignment="1" applyProtection="1">
      <alignment horizontal="left" vertical="center"/>
      <protection hidden="1"/>
    </xf>
    <xf numFmtId="2" fontId="19" fillId="2" borderId="3" xfId="0" applyNumberFormat="1" applyFont="1" applyFill="1" applyBorder="1" applyAlignment="1" applyProtection="1">
      <alignment horizontal="left" vertical="center"/>
      <protection hidden="1"/>
    </xf>
    <xf numFmtId="2" fontId="20" fillId="6" borderId="20" xfId="0" applyNumberFormat="1" applyFont="1" applyFill="1" applyBorder="1" applyAlignment="1" applyProtection="1">
      <alignment horizontal="center" vertical="center"/>
      <protection hidden="1"/>
    </xf>
    <xf numFmtId="2" fontId="44" fillId="8" borderId="14" xfId="0" applyNumberFormat="1" applyFont="1" applyFill="1" applyBorder="1" applyAlignment="1" applyProtection="1">
      <alignment horizontal="center" vertical="center"/>
      <protection hidden="1"/>
    </xf>
    <xf numFmtId="2" fontId="44" fillId="8" borderId="15" xfId="0" applyNumberFormat="1" applyFont="1" applyFill="1" applyBorder="1" applyAlignment="1" applyProtection="1">
      <alignment horizontal="center" vertical="center"/>
      <protection hidden="1"/>
    </xf>
    <xf numFmtId="2" fontId="44" fillId="8" borderId="16" xfId="0" applyNumberFormat="1" applyFont="1" applyFill="1" applyBorder="1" applyAlignment="1" applyProtection="1">
      <alignment horizontal="center" vertical="center"/>
      <protection hidden="1"/>
    </xf>
    <xf numFmtId="2" fontId="26" fillId="3" borderId="0" xfId="0" applyNumberFormat="1" applyFont="1" applyFill="1" applyBorder="1" applyAlignment="1" applyProtection="1">
      <alignment horizontal="center" vertical="center"/>
      <protection hidden="1"/>
    </xf>
    <xf numFmtId="2" fontId="25" fillId="6" borderId="0" xfId="0" applyNumberFormat="1" applyFont="1" applyFill="1" applyBorder="1" applyAlignment="1" applyProtection="1">
      <alignment horizontal="left" vertical="center" wrapText="1"/>
      <protection hidden="1"/>
    </xf>
    <xf numFmtId="2" fontId="19" fillId="6" borderId="19" xfId="0" applyNumberFormat="1" applyFont="1" applyFill="1" applyBorder="1" applyAlignment="1" applyProtection="1">
      <alignment horizontal="center"/>
      <protection hidden="1"/>
    </xf>
    <xf numFmtId="2" fontId="19" fillId="6" borderId="3" xfId="0" applyNumberFormat="1" applyFont="1" applyFill="1" applyBorder="1" applyAlignment="1" applyProtection="1">
      <alignment horizontal="center"/>
      <protection hidden="1"/>
    </xf>
    <xf numFmtId="2" fontId="26" fillId="8" borderId="14" xfId="0" applyNumberFormat="1" applyFont="1" applyFill="1" applyBorder="1" applyAlignment="1" applyProtection="1">
      <alignment horizontal="center" vertical="center" wrapText="1"/>
      <protection hidden="1"/>
    </xf>
    <xf numFmtId="2" fontId="26" fillId="8" borderId="15" xfId="0" applyNumberFormat="1" applyFont="1" applyFill="1" applyBorder="1" applyAlignment="1" applyProtection="1">
      <alignment horizontal="center" vertical="center" wrapText="1"/>
      <protection hidden="1"/>
    </xf>
    <xf numFmtId="2" fontId="26" fillId="8" borderId="16" xfId="0" applyNumberFormat="1" applyFont="1" applyFill="1" applyBorder="1" applyAlignment="1" applyProtection="1">
      <alignment horizontal="center" vertical="center" wrapText="1"/>
      <protection hidden="1"/>
    </xf>
    <xf numFmtId="2" fontId="42" fillId="3" borderId="0" xfId="0" applyNumberFormat="1" applyFont="1" applyFill="1" applyBorder="1" applyAlignment="1" applyProtection="1">
      <alignment horizontal="center" vertical="center"/>
      <protection hidden="1"/>
    </xf>
    <xf numFmtId="2" fontId="20" fillId="6" borderId="1" xfId="2" applyNumberFormat="1" applyFont="1" applyFill="1" applyBorder="1" applyAlignment="1" applyProtection="1">
      <alignment horizontal="left" vertical="center"/>
      <protection hidden="1"/>
    </xf>
    <xf numFmtId="2" fontId="20" fillId="6" borderId="2" xfId="2" applyNumberFormat="1" applyFont="1" applyFill="1" applyBorder="1" applyAlignment="1" applyProtection="1">
      <alignment horizontal="left" vertical="center"/>
      <protection hidden="1"/>
    </xf>
    <xf numFmtId="2" fontId="42" fillId="3" borderId="22" xfId="0" applyNumberFormat="1" applyFont="1" applyFill="1" applyBorder="1" applyAlignment="1" applyProtection="1">
      <alignment horizontal="center" vertical="center"/>
      <protection hidden="1"/>
    </xf>
    <xf numFmtId="2" fontId="42" fillId="3" borderId="32" xfId="0" applyNumberFormat="1" applyFont="1" applyFill="1" applyBorder="1" applyAlignment="1" applyProtection="1">
      <alignment horizontal="center" vertical="center"/>
      <protection hidden="1"/>
    </xf>
    <xf numFmtId="2" fontId="42" fillId="3" borderId="23" xfId="0" applyNumberFormat="1" applyFont="1" applyFill="1" applyBorder="1" applyAlignment="1" applyProtection="1">
      <alignment horizontal="center" vertical="center"/>
      <protection hidden="1"/>
    </xf>
    <xf numFmtId="0" fontId="19" fillId="9" borderId="62" xfId="0" applyFont="1" applyFill="1" applyBorder="1" applyAlignment="1" applyProtection="1">
      <alignment horizontal="center" vertical="center" wrapText="1"/>
      <protection hidden="1"/>
    </xf>
    <xf numFmtId="0" fontId="0" fillId="0" borderId="66" xfId="0" applyBorder="1" applyAlignment="1">
      <alignment horizontal="center" vertical="center" wrapText="1"/>
    </xf>
    <xf numFmtId="2" fontId="4" fillId="6" borderId="1" xfId="0" applyNumberFormat="1" applyFont="1" applyFill="1" applyBorder="1" applyAlignment="1" applyProtection="1">
      <alignment horizontal="left" vertical="center" wrapText="1"/>
      <protection hidden="1"/>
    </xf>
    <xf numFmtId="2" fontId="25" fillId="6" borderId="22" xfId="0" applyNumberFormat="1" applyFont="1" applyFill="1" applyBorder="1" applyAlignment="1" applyProtection="1">
      <alignment horizontal="center" vertical="center" wrapText="1"/>
      <protection hidden="1"/>
    </xf>
    <xf numFmtId="2" fontId="25" fillId="6" borderId="23" xfId="0" applyNumberFormat="1" applyFont="1" applyFill="1" applyBorder="1" applyAlignment="1" applyProtection="1">
      <alignment horizontal="center" vertical="center" wrapText="1"/>
      <protection hidden="1"/>
    </xf>
    <xf numFmtId="2" fontId="20" fillId="6" borderId="20" xfId="2" applyNumberFormat="1" applyFont="1" applyFill="1" applyBorder="1" applyAlignment="1" applyProtection="1">
      <alignment horizontal="center" vertical="center" wrapText="1"/>
      <protection hidden="1"/>
    </xf>
    <xf numFmtId="164" fontId="19" fillId="9" borderId="1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vertical="center" wrapText="1"/>
    </xf>
    <xf numFmtId="1" fontId="5" fillId="14" borderId="34" xfId="3" applyNumberFormat="1" applyFont="1" applyBorder="1" applyAlignment="1" applyProtection="1">
      <alignment horizontal="center" vertical="center" wrapText="1"/>
      <protection locked="0"/>
    </xf>
    <xf numFmtId="1" fontId="5" fillId="14" borderId="35" xfId="3" applyNumberFormat="1" applyFont="1" applyBorder="1" applyAlignment="1" applyProtection="1">
      <alignment horizontal="center" vertical="center" wrapText="1"/>
      <protection locked="0"/>
    </xf>
    <xf numFmtId="2" fontId="19" fillId="0" borderId="26" xfId="0" applyNumberFormat="1" applyFont="1" applyBorder="1" applyAlignment="1" applyProtection="1">
      <alignment horizontal="center"/>
      <protection hidden="1"/>
    </xf>
    <xf numFmtId="2" fontId="19" fillId="0" borderId="29" xfId="0" applyNumberFormat="1" applyFont="1" applyBorder="1" applyAlignment="1" applyProtection="1">
      <alignment horizontal="center"/>
      <protection hidden="1"/>
    </xf>
    <xf numFmtId="2" fontId="19" fillId="0" borderId="31" xfId="0" applyNumberFormat="1" applyFont="1" applyBorder="1" applyAlignment="1" applyProtection="1">
      <alignment horizontal="center"/>
      <protection hidden="1"/>
    </xf>
    <xf numFmtId="2" fontId="19" fillId="0" borderId="30" xfId="0" applyNumberFormat="1" applyFont="1" applyBorder="1" applyAlignment="1" applyProtection="1">
      <alignment horizontal="center"/>
      <protection hidden="1"/>
    </xf>
    <xf numFmtId="2" fontId="19" fillId="0" borderId="17" xfId="0" applyNumberFormat="1" applyFont="1" applyBorder="1" applyAlignment="1" applyProtection="1">
      <alignment horizontal="center"/>
      <protection hidden="1"/>
    </xf>
    <xf numFmtId="2" fontId="19" fillId="0" borderId="18" xfId="0" applyNumberFormat="1" applyFont="1" applyBorder="1" applyAlignment="1" applyProtection="1">
      <alignment horizontal="center"/>
      <protection hidden="1"/>
    </xf>
    <xf numFmtId="2" fontId="21" fillId="6" borderId="20" xfId="0" applyNumberFormat="1" applyFont="1" applyFill="1" applyBorder="1" applyAlignment="1" applyProtection="1">
      <alignment horizontal="center" vertical="center"/>
      <protection hidden="1"/>
    </xf>
    <xf numFmtId="2" fontId="41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41" fillId="0" borderId="28" xfId="0" applyNumberFormat="1" applyFont="1" applyFill="1" applyBorder="1" applyAlignment="1" applyProtection="1">
      <alignment horizontal="center" vertical="center" wrapText="1"/>
      <protection hidden="1"/>
    </xf>
    <xf numFmtId="2" fontId="41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41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41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41" fillId="0" borderId="30" xfId="0" applyNumberFormat="1" applyFont="1" applyFill="1" applyBorder="1" applyAlignment="1" applyProtection="1">
      <alignment horizontal="center" vertical="center" wrapText="1"/>
      <protection hidden="1"/>
    </xf>
    <xf numFmtId="2" fontId="41" fillId="0" borderId="17" xfId="0" applyNumberFormat="1" applyFont="1" applyFill="1" applyBorder="1" applyAlignment="1" applyProtection="1">
      <alignment horizontal="center" vertical="center" wrapText="1"/>
      <protection hidden="1"/>
    </xf>
    <xf numFmtId="2" fontId="41" fillId="0" borderId="25" xfId="0" applyNumberFormat="1" applyFont="1" applyFill="1" applyBorder="1" applyAlignment="1" applyProtection="1">
      <alignment horizontal="center" vertical="center" wrapText="1"/>
      <protection hidden="1"/>
    </xf>
    <xf numFmtId="2" fontId="41" fillId="0" borderId="18" xfId="0" applyNumberFormat="1" applyFont="1" applyFill="1" applyBorder="1" applyAlignment="1" applyProtection="1">
      <alignment horizontal="center" vertical="center" wrapText="1"/>
      <protection hidden="1"/>
    </xf>
    <xf numFmtId="2" fontId="26" fillId="8" borderId="15" xfId="0" applyNumberFormat="1" applyFont="1" applyFill="1" applyBorder="1" applyAlignment="1" applyProtection="1">
      <alignment horizontal="center" vertical="center"/>
      <protection hidden="1"/>
    </xf>
    <xf numFmtId="2" fontId="26" fillId="8" borderId="16" xfId="0" applyNumberFormat="1" applyFont="1" applyFill="1" applyBorder="1" applyAlignment="1" applyProtection="1">
      <alignment horizontal="center" vertical="center"/>
      <protection hidden="1"/>
    </xf>
    <xf numFmtId="2" fontId="21" fillId="6" borderId="1" xfId="2" applyNumberFormat="1" applyFont="1" applyFill="1" applyBorder="1" applyAlignment="1" applyProtection="1">
      <alignment horizontal="center" vertical="center" wrapText="1"/>
      <protection hidden="1"/>
    </xf>
    <xf numFmtId="2" fontId="20" fillId="6" borderId="3" xfId="2" applyNumberFormat="1" applyFont="1" applyFill="1" applyBorder="1" applyAlignment="1" applyProtection="1">
      <alignment horizontal="left" vertical="center"/>
      <protection hidden="1"/>
    </xf>
    <xf numFmtId="2" fontId="20" fillId="6" borderId="2" xfId="2" applyNumberFormat="1" applyFont="1" applyFill="1" applyBorder="1" applyAlignment="1" applyProtection="1">
      <alignment horizontal="left" vertical="center" wrapText="1"/>
      <protection hidden="1"/>
    </xf>
    <xf numFmtId="2" fontId="20" fillId="6" borderId="3" xfId="2" applyNumberFormat="1" applyFont="1" applyFill="1" applyBorder="1" applyAlignment="1" applyProtection="1">
      <alignment horizontal="left" vertical="center" wrapText="1"/>
      <protection hidden="1"/>
    </xf>
    <xf numFmtId="0" fontId="22" fillId="3" borderId="14" xfId="0" applyFont="1" applyFill="1" applyBorder="1" applyAlignment="1" applyProtection="1">
      <alignment horizontal="center" vertical="center"/>
      <protection hidden="1"/>
    </xf>
    <xf numFmtId="0" fontId="22" fillId="3" borderId="15" xfId="0" applyFont="1" applyFill="1" applyBorder="1" applyAlignment="1" applyProtection="1">
      <alignment horizontal="center" vertical="center"/>
      <protection hidden="1"/>
    </xf>
    <xf numFmtId="0" fontId="22" fillId="3" borderId="16" xfId="0" applyFont="1" applyFill="1" applyBorder="1" applyAlignment="1" applyProtection="1">
      <alignment horizontal="center" vertical="center"/>
      <protection hidden="1"/>
    </xf>
    <xf numFmtId="0" fontId="21" fillId="6" borderId="19" xfId="0" applyFont="1" applyFill="1" applyBorder="1" applyAlignment="1" applyProtection="1">
      <alignment horizontal="center"/>
      <protection hidden="1"/>
    </xf>
    <xf numFmtId="0" fontId="21" fillId="6" borderId="3" xfId="0" applyFont="1" applyFill="1" applyBorder="1" applyAlignment="1" applyProtection="1">
      <alignment horizontal="center"/>
      <protection hidden="1"/>
    </xf>
    <xf numFmtId="2" fontId="20" fillId="6" borderId="20" xfId="2" applyNumberFormat="1" applyFont="1" applyFill="1" applyBorder="1" applyAlignment="1" applyProtection="1">
      <alignment horizontal="left" vertical="center"/>
      <protection hidden="1"/>
    </xf>
    <xf numFmtId="2" fontId="19" fillId="9" borderId="1" xfId="0" applyNumberFormat="1" applyFont="1" applyFill="1" applyBorder="1" applyAlignment="1" applyProtection="1">
      <alignment horizontal="center" vertical="center"/>
      <protection hidden="1"/>
    </xf>
    <xf numFmtId="2" fontId="25" fillId="6" borderId="1" xfId="0" applyNumberFormat="1" applyFont="1" applyFill="1" applyBorder="1" applyAlignment="1" applyProtection="1">
      <alignment horizontal="left" vertical="center"/>
      <protection hidden="1"/>
    </xf>
    <xf numFmtId="2" fontId="20" fillId="6" borderId="1" xfId="2" applyNumberFormat="1" applyFont="1" applyFill="1" applyBorder="1" applyAlignment="1" applyProtection="1">
      <alignment horizontal="center" vertical="center" wrapText="1"/>
      <protection hidden="1"/>
    </xf>
    <xf numFmtId="2" fontId="20" fillId="6" borderId="2" xfId="2" applyNumberFormat="1" applyFont="1" applyFill="1" applyBorder="1" applyAlignment="1" applyProtection="1">
      <alignment horizontal="center" vertical="center" wrapText="1"/>
      <protection hidden="1"/>
    </xf>
    <xf numFmtId="0" fontId="57" fillId="3" borderId="1" xfId="0" applyFont="1" applyFill="1" applyBorder="1" applyAlignment="1" applyProtection="1">
      <alignment horizontal="center" vertical="center" wrapText="1"/>
      <protection hidden="1"/>
    </xf>
    <xf numFmtId="0" fontId="4" fillId="21" borderId="1" xfId="0" applyFont="1" applyFill="1" applyBorder="1" applyAlignment="1" applyProtection="1">
      <alignment horizontal="center" vertical="center" wrapText="1"/>
      <protection hidden="1"/>
    </xf>
    <xf numFmtId="2" fontId="19" fillId="9" borderId="2" xfId="0" applyNumberFormat="1" applyFont="1" applyFill="1" applyBorder="1" applyAlignment="1" applyProtection="1">
      <alignment horizontal="center" vertical="center"/>
      <protection hidden="1"/>
    </xf>
    <xf numFmtId="2" fontId="19" fillId="9" borderId="3" xfId="0" applyNumberFormat="1" applyFont="1" applyFill="1" applyBorder="1" applyAlignment="1" applyProtection="1">
      <alignment horizontal="center" vertical="center"/>
      <protection hidden="1"/>
    </xf>
    <xf numFmtId="168" fontId="19" fillId="9" borderId="2" xfId="0" applyNumberFormat="1" applyFont="1" applyFill="1" applyBorder="1" applyAlignment="1" applyProtection="1">
      <alignment horizontal="center" vertical="center"/>
      <protection hidden="1"/>
    </xf>
    <xf numFmtId="168" fontId="19" fillId="9" borderId="3" xfId="0" applyNumberFormat="1" applyFont="1" applyFill="1" applyBorder="1" applyAlignment="1" applyProtection="1">
      <alignment horizontal="center" vertical="center"/>
      <protection hidden="1"/>
    </xf>
    <xf numFmtId="2" fontId="26" fillId="8" borderId="14" xfId="0" applyNumberFormat="1" applyFont="1" applyFill="1" applyBorder="1" applyAlignment="1" applyProtection="1">
      <alignment horizontal="center" vertical="center"/>
      <protection hidden="1"/>
    </xf>
    <xf numFmtId="2" fontId="42" fillId="3" borderId="14" xfId="0" applyNumberFormat="1" applyFont="1" applyFill="1" applyBorder="1" applyAlignment="1" applyProtection="1">
      <alignment horizontal="center" vertical="center" wrapText="1"/>
      <protection hidden="1"/>
    </xf>
    <xf numFmtId="2" fontId="42" fillId="3" borderId="15" xfId="0" applyNumberFormat="1" applyFont="1" applyFill="1" applyBorder="1" applyAlignment="1" applyProtection="1">
      <alignment horizontal="center" vertical="center" wrapText="1"/>
      <protection hidden="1"/>
    </xf>
    <xf numFmtId="2" fontId="42" fillId="3" borderId="16" xfId="0" applyNumberFormat="1" applyFont="1" applyFill="1" applyBorder="1" applyAlignment="1" applyProtection="1">
      <alignment horizontal="center" vertical="center" wrapText="1"/>
      <protection hidden="1"/>
    </xf>
    <xf numFmtId="2" fontId="29" fillId="6" borderId="9" xfId="0" applyNumberFormat="1" applyFont="1" applyFill="1" applyBorder="1" applyAlignment="1" applyProtection="1">
      <alignment horizontal="center" vertical="center"/>
      <protection hidden="1"/>
    </xf>
    <xf numFmtId="2" fontId="29" fillId="6" borderId="10" xfId="0" applyNumberFormat="1" applyFont="1" applyFill="1" applyBorder="1" applyAlignment="1" applyProtection="1">
      <alignment horizontal="center" vertical="center"/>
      <protection hidden="1"/>
    </xf>
    <xf numFmtId="2" fontId="29" fillId="6" borderId="11" xfId="0" applyNumberFormat="1" applyFont="1" applyFill="1" applyBorder="1" applyAlignment="1" applyProtection="1">
      <alignment horizontal="center" vertical="center"/>
      <protection hidden="1"/>
    </xf>
    <xf numFmtId="2" fontId="25" fillId="6" borderId="2" xfId="0" applyNumberFormat="1" applyFont="1" applyFill="1" applyBorder="1" applyAlignment="1" applyProtection="1">
      <alignment horizontal="center" vertical="center" wrapText="1"/>
      <protection hidden="1"/>
    </xf>
    <xf numFmtId="2" fontId="25" fillId="6" borderId="19" xfId="0" applyNumberFormat="1" applyFont="1" applyFill="1" applyBorder="1" applyAlignment="1" applyProtection="1">
      <alignment horizontal="center" vertical="center" wrapText="1"/>
      <protection hidden="1"/>
    </xf>
    <xf numFmtId="2" fontId="19" fillId="6" borderId="19" xfId="0" applyNumberFormat="1" applyFont="1" applyFill="1" applyBorder="1" applyAlignment="1" applyProtection="1">
      <alignment horizontal="center" vertical="center"/>
      <protection hidden="1"/>
    </xf>
    <xf numFmtId="2" fontId="19" fillId="6" borderId="3" xfId="0" applyNumberFormat="1" applyFont="1" applyFill="1" applyBorder="1" applyAlignment="1" applyProtection="1">
      <alignment horizontal="center" vertical="center"/>
      <protection hidden="1"/>
    </xf>
    <xf numFmtId="2" fontId="25" fillId="6" borderId="17" xfId="0" applyNumberFormat="1" applyFont="1" applyFill="1" applyBorder="1" applyAlignment="1" applyProtection="1">
      <alignment horizontal="center" vertical="center"/>
      <protection hidden="1"/>
    </xf>
    <xf numFmtId="2" fontId="25" fillId="6" borderId="25" xfId="0" applyNumberFormat="1" applyFont="1" applyFill="1" applyBorder="1" applyAlignment="1" applyProtection="1">
      <alignment horizontal="center" vertical="center"/>
      <protection hidden="1"/>
    </xf>
    <xf numFmtId="2" fontId="25" fillId="6" borderId="18" xfId="0" applyNumberFormat="1" applyFont="1" applyFill="1" applyBorder="1" applyAlignment="1" applyProtection="1">
      <alignment horizontal="center" vertical="center"/>
      <protection hidden="1"/>
    </xf>
    <xf numFmtId="2" fontId="19" fillId="6" borderId="1" xfId="0" applyNumberFormat="1" applyFont="1" applyFill="1" applyBorder="1" applyAlignment="1" applyProtection="1">
      <alignment horizontal="center"/>
      <protection hidden="1"/>
    </xf>
    <xf numFmtId="2" fontId="25" fillId="6" borderId="25" xfId="0" applyNumberFormat="1" applyFont="1" applyFill="1" applyBorder="1" applyAlignment="1" applyProtection="1">
      <alignment horizontal="left" vertical="center" wrapText="1"/>
      <protection hidden="1"/>
    </xf>
    <xf numFmtId="2" fontId="25" fillId="6" borderId="3" xfId="0" applyNumberFormat="1" applyFont="1" applyFill="1" applyBorder="1" applyAlignment="1" applyProtection="1">
      <alignment horizontal="left" vertical="center" wrapText="1"/>
      <protection hidden="1"/>
    </xf>
    <xf numFmtId="2" fontId="30" fillId="6" borderId="2" xfId="0" applyNumberFormat="1" applyFont="1" applyFill="1" applyBorder="1" applyAlignment="1" applyProtection="1">
      <alignment horizontal="center" vertical="center" wrapText="1"/>
      <protection hidden="1"/>
    </xf>
    <xf numFmtId="2" fontId="30" fillId="6" borderId="3" xfId="0" applyNumberFormat="1" applyFont="1" applyFill="1" applyBorder="1" applyAlignment="1" applyProtection="1">
      <alignment horizontal="center" vertical="center" wrapText="1"/>
      <protection hidden="1"/>
    </xf>
    <xf numFmtId="2" fontId="22" fillId="3" borderId="0" xfId="0" applyNumberFormat="1" applyFont="1" applyFill="1" applyBorder="1" applyAlignment="1" applyProtection="1">
      <alignment horizontal="center" vertical="center" wrapText="1"/>
      <protection hidden="1"/>
    </xf>
    <xf numFmtId="2" fontId="38" fillId="3" borderId="0" xfId="0" applyNumberFormat="1" applyFont="1" applyFill="1" applyBorder="1" applyAlignment="1" applyProtection="1">
      <alignment horizontal="center" vertical="center"/>
      <protection hidden="1"/>
    </xf>
    <xf numFmtId="2" fontId="25" fillId="12" borderId="1" xfId="0" applyNumberFormat="1" applyFont="1" applyFill="1" applyBorder="1" applyAlignment="1" applyProtection="1">
      <alignment horizontal="center" vertical="center"/>
      <protection hidden="1"/>
    </xf>
    <xf numFmtId="2" fontId="19" fillId="6" borderId="2" xfId="0" applyNumberFormat="1" applyFont="1" applyFill="1" applyBorder="1" applyAlignment="1" applyProtection="1">
      <alignment horizontal="center"/>
      <protection hidden="1"/>
    </xf>
    <xf numFmtId="2" fontId="25" fillId="6" borderId="1" xfId="0" applyNumberFormat="1" applyFont="1" applyFill="1" applyBorder="1" applyAlignment="1" applyProtection="1">
      <alignment horizontal="center" vertical="center" wrapText="1"/>
      <protection hidden="1"/>
    </xf>
    <xf numFmtId="0" fontId="39" fillId="20" borderId="34" xfId="0" applyFont="1" applyFill="1" applyBorder="1" applyAlignment="1">
      <alignment horizontal="center" vertical="center" textRotation="90"/>
    </xf>
    <xf numFmtId="0" fontId="39" fillId="20" borderId="61" xfId="0" applyFont="1" applyFill="1" applyBorder="1" applyAlignment="1">
      <alignment horizontal="center" vertical="center" textRotation="90"/>
    </xf>
    <xf numFmtId="0" fontId="39" fillId="20" borderId="35" xfId="0" applyFont="1" applyFill="1" applyBorder="1" applyAlignment="1">
      <alignment horizontal="center" vertical="center" textRotation="90"/>
    </xf>
    <xf numFmtId="0" fontId="30" fillId="20" borderId="22" xfId="0" applyFont="1" applyFill="1" applyBorder="1" applyAlignment="1">
      <alignment horizontal="center" vertical="center"/>
    </xf>
    <xf numFmtId="0" fontId="30" fillId="20" borderId="32" xfId="0" applyFont="1" applyFill="1" applyBorder="1" applyAlignment="1">
      <alignment horizontal="center" vertical="center"/>
    </xf>
    <xf numFmtId="0" fontId="30" fillId="20" borderId="23" xfId="0" applyFont="1" applyFill="1" applyBorder="1" applyAlignment="1">
      <alignment horizontal="center" vertical="center"/>
    </xf>
    <xf numFmtId="0" fontId="19" fillId="0" borderId="23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39" fillId="18" borderId="22" xfId="0" applyFont="1" applyFill="1" applyBorder="1" applyAlignment="1">
      <alignment horizontal="center" vertical="center"/>
    </xf>
    <xf numFmtId="0" fontId="39" fillId="18" borderId="32" xfId="0" applyFont="1" applyFill="1" applyBorder="1" applyAlignment="1">
      <alignment horizontal="center" vertical="center"/>
    </xf>
    <xf numFmtId="0" fontId="39" fillId="18" borderId="23" xfId="0" applyFont="1" applyFill="1" applyBorder="1" applyAlignment="1">
      <alignment horizontal="center" vertical="center"/>
    </xf>
    <xf numFmtId="0" fontId="39" fillId="18" borderId="21" xfId="0" applyFont="1" applyFill="1" applyBorder="1" applyAlignment="1">
      <alignment horizontal="center" vertical="center"/>
    </xf>
    <xf numFmtId="0" fontId="39" fillId="18" borderId="43" xfId="0" applyFont="1" applyFill="1" applyBorder="1" applyAlignment="1">
      <alignment horizontal="center" vertical="center"/>
    </xf>
    <xf numFmtId="0" fontId="39" fillId="18" borderId="6" xfId="0" applyFont="1" applyFill="1" applyBorder="1" applyAlignment="1">
      <alignment horizontal="center" vertical="center"/>
    </xf>
    <xf numFmtId="0" fontId="47" fillId="18" borderId="22" xfId="0" applyFont="1" applyFill="1" applyBorder="1" applyAlignment="1">
      <alignment horizontal="center" vertical="center"/>
    </xf>
    <xf numFmtId="0" fontId="47" fillId="18" borderId="32" xfId="0" applyFont="1" applyFill="1" applyBorder="1" applyAlignment="1">
      <alignment horizontal="center" vertical="center"/>
    </xf>
    <xf numFmtId="0" fontId="47" fillId="18" borderId="23" xfId="0" applyFont="1" applyFill="1" applyBorder="1" applyAlignment="1">
      <alignment horizontal="center" vertical="center"/>
    </xf>
    <xf numFmtId="0" fontId="47" fillId="18" borderId="24" xfId="0" applyFont="1" applyFill="1" applyBorder="1" applyAlignment="1">
      <alignment horizontal="center" vertical="center"/>
    </xf>
    <xf numFmtId="0" fontId="47" fillId="18" borderId="0" xfId="0" applyFont="1" applyFill="1" applyBorder="1" applyAlignment="1">
      <alignment horizontal="center" vertical="center"/>
    </xf>
    <xf numFmtId="0" fontId="47" fillId="18" borderId="41" xfId="0" applyFont="1" applyFill="1" applyBorder="1" applyAlignment="1">
      <alignment horizontal="center" vertical="center"/>
    </xf>
    <xf numFmtId="0" fontId="47" fillId="18" borderId="21" xfId="0" applyFont="1" applyFill="1" applyBorder="1" applyAlignment="1">
      <alignment horizontal="center" vertical="center"/>
    </xf>
    <xf numFmtId="0" fontId="47" fillId="18" borderId="43" xfId="0" applyFont="1" applyFill="1" applyBorder="1" applyAlignment="1">
      <alignment horizontal="center" vertical="center"/>
    </xf>
    <xf numFmtId="0" fontId="47" fillId="18" borderId="6" xfId="0" applyFont="1" applyFill="1" applyBorder="1" applyAlignment="1">
      <alignment horizontal="center" vertical="center"/>
    </xf>
    <xf numFmtId="0" fontId="39" fillId="20" borderId="14" xfId="0" applyFont="1" applyFill="1" applyBorder="1" applyAlignment="1">
      <alignment horizontal="center" vertical="center" wrapText="1"/>
    </xf>
    <xf numFmtId="0" fontId="39" fillId="20" borderId="15" xfId="0" applyFont="1" applyFill="1" applyBorder="1" applyAlignment="1">
      <alignment horizontal="center" vertical="center" wrapText="1"/>
    </xf>
    <xf numFmtId="0" fontId="39" fillId="20" borderId="16" xfId="0" applyFont="1" applyFill="1" applyBorder="1" applyAlignment="1">
      <alignment horizontal="center" vertical="center" wrapText="1"/>
    </xf>
    <xf numFmtId="0" fontId="19" fillId="20" borderId="14" xfId="0" applyFont="1" applyFill="1" applyBorder="1" applyAlignment="1">
      <alignment horizontal="center" vertical="center"/>
    </xf>
    <xf numFmtId="0" fontId="19" fillId="20" borderId="15" xfId="0" applyFont="1" applyFill="1" applyBorder="1" applyAlignment="1">
      <alignment horizontal="center" vertical="center"/>
    </xf>
    <xf numFmtId="0" fontId="19" fillId="20" borderId="16" xfId="0" applyFont="1" applyFill="1" applyBorder="1" applyAlignment="1">
      <alignment horizontal="center" vertical="center"/>
    </xf>
    <xf numFmtId="0" fontId="39" fillId="20" borderId="22" xfId="0" applyFont="1" applyFill="1" applyBorder="1" applyAlignment="1">
      <alignment horizontal="center" vertical="center" wrapText="1"/>
    </xf>
    <xf numFmtId="0" fontId="39" fillId="20" borderId="32" xfId="0" applyFont="1" applyFill="1" applyBorder="1" applyAlignment="1">
      <alignment horizontal="center" vertical="center" wrapText="1"/>
    </xf>
    <xf numFmtId="0" fontId="39" fillId="20" borderId="23" xfId="0" applyFont="1" applyFill="1" applyBorder="1" applyAlignment="1">
      <alignment horizontal="center" vertical="center" wrapText="1"/>
    </xf>
    <xf numFmtId="0" fontId="39" fillId="20" borderId="24" xfId="0" applyFont="1" applyFill="1" applyBorder="1" applyAlignment="1">
      <alignment horizontal="center" vertical="center" wrapText="1"/>
    </xf>
    <xf numFmtId="0" fontId="39" fillId="20" borderId="0" xfId="0" applyFont="1" applyFill="1" applyBorder="1" applyAlignment="1">
      <alignment horizontal="center" vertical="center" wrapText="1"/>
    </xf>
    <xf numFmtId="0" fontId="39" fillId="20" borderId="41" xfId="0" applyFont="1" applyFill="1" applyBorder="1" applyAlignment="1">
      <alignment horizontal="center" vertical="center" wrapText="1"/>
    </xf>
    <xf numFmtId="0" fontId="30" fillId="20" borderId="14" xfId="0" applyFont="1" applyFill="1" applyBorder="1" applyAlignment="1">
      <alignment horizontal="center" vertical="center"/>
    </xf>
    <xf numFmtId="0" fontId="30" fillId="20" borderId="15" xfId="0" applyFont="1" applyFill="1" applyBorder="1" applyAlignment="1">
      <alignment horizontal="center" vertical="center"/>
    </xf>
    <xf numFmtId="0" fontId="30" fillId="20" borderId="16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2" fontId="9" fillId="0" borderId="0" xfId="0" applyNumberFormat="1" applyFont="1" applyBorder="1" applyAlignment="1">
      <alignment horizontal="left" vertical="center" wrapText="1"/>
    </xf>
    <xf numFmtId="2" fontId="9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justify" vertical="justify" wrapText="1"/>
    </xf>
    <xf numFmtId="0" fontId="1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justify" vertical="center" wrapText="1"/>
    </xf>
    <xf numFmtId="0" fontId="13" fillId="0" borderId="0" xfId="0" applyFont="1" applyAlignment="1">
      <alignment horizontal="left" vertical="center" wrapText="1"/>
    </xf>
    <xf numFmtId="14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justify" vertical="justify" wrapText="1"/>
    </xf>
    <xf numFmtId="0" fontId="4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justify" wrapText="1"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9" fillId="0" borderId="0" xfId="0" applyFont="1" applyAlignment="1">
      <alignment horizontal="justify" vertical="justify" wrapText="1" readingOrder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9" fillId="0" borderId="24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justify" vertical="justify" wrapText="1" readingOrder="1"/>
    </xf>
    <xf numFmtId="0" fontId="6" fillId="0" borderId="23" xfId="0" applyFont="1" applyBorder="1" applyAlignment="1">
      <alignment horizontal="justify" vertical="justify" wrapText="1" readingOrder="1"/>
    </xf>
    <xf numFmtId="0" fontId="6" fillId="0" borderId="24" xfId="0" applyFont="1" applyBorder="1" applyAlignment="1">
      <alignment horizontal="justify" vertical="justify" wrapText="1" readingOrder="1"/>
    </xf>
    <xf numFmtId="0" fontId="6" fillId="0" borderId="41" xfId="0" applyFont="1" applyBorder="1" applyAlignment="1">
      <alignment horizontal="justify" vertical="justify" wrapText="1" readingOrder="1"/>
    </xf>
    <xf numFmtId="0" fontId="6" fillId="0" borderId="21" xfId="0" applyFont="1" applyBorder="1" applyAlignment="1">
      <alignment horizontal="justify" vertical="justify" wrapText="1" readingOrder="1"/>
    </xf>
    <xf numFmtId="0" fontId="6" fillId="0" borderId="6" xfId="0" applyFont="1" applyBorder="1" applyAlignment="1">
      <alignment horizontal="justify" vertical="justify" wrapText="1" readingOrder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0" fillId="0" borderId="22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justify" vertical="justify" wrapText="1"/>
    </xf>
    <xf numFmtId="0" fontId="9" fillId="0" borderId="21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2" fontId="21" fillId="6" borderId="20" xfId="0" applyNumberFormat="1" applyFont="1" applyFill="1" applyBorder="1" applyAlignment="1" applyProtection="1">
      <alignment horizontal="center" vertical="center" wrapText="1"/>
      <protection hidden="1"/>
    </xf>
    <xf numFmtId="2" fontId="21" fillId="6" borderId="17" xfId="0" applyNumberFormat="1" applyFont="1" applyFill="1" applyBorder="1" applyAlignment="1" applyProtection="1">
      <alignment horizontal="center" vertical="center" wrapText="1"/>
      <protection hidden="1"/>
    </xf>
    <xf numFmtId="2" fontId="30" fillId="9" borderId="21" xfId="0" applyNumberFormat="1" applyFont="1" applyFill="1" applyBorder="1" applyAlignment="1" applyProtection="1">
      <alignment horizontal="left" vertical="center" wrapText="1"/>
      <protection hidden="1"/>
    </xf>
    <xf numFmtId="2" fontId="30" fillId="9" borderId="6" xfId="0" applyNumberFormat="1" applyFont="1" applyFill="1" applyBorder="1" applyAlignment="1" applyProtection="1">
      <alignment horizontal="left" vertical="center" wrapText="1"/>
      <protection hidden="1"/>
    </xf>
    <xf numFmtId="2" fontId="30" fillId="6" borderId="34" xfId="0" applyNumberFormat="1" applyFont="1" applyFill="1" applyBorder="1" applyAlignment="1" applyProtection="1">
      <alignment horizontal="center" vertical="center" wrapText="1"/>
      <protection hidden="1"/>
    </xf>
    <xf numFmtId="171" fontId="63" fillId="9" borderId="14" xfId="0" applyNumberFormat="1" applyFont="1" applyFill="1" applyBorder="1" applyAlignment="1" applyProtection="1">
      <alignment horizontal="center" vertical="center"/>
      <protection hidden="1"/>
    </xf>
    <xf numFmtId="2" fontId="30" fillId="6" borderId="37" xfId="0" applyNumberFormat="1" applyFont="1" applyFill="1" applyBorder="1" applyAlignment="1" applyProtection="1">
      <alignment vertical="center" wrapText="1"/>
      <protection hidden="1"/>
    </xf>
    <xf numFmtId="171" fontId="63" fillId="9" borderId="15" xfId="0" applyNumberFormat="1" applyFont="1" applyFill="1" applyBorder="1" applyAlignment="1" applyProtection="1">
      <alignment horizontal="center" vertical="center"/>
      <protection hidden="1"/>
    </xf>
    <xf numFmtId="171" fontId="63" fillId="9" borderId="35" xfId="0" applyNumberFormat="1" applyFont="1" applyFill="1" applyBorder="1" applyAlignment="1" applyProtection="1">
      <alignment horizontal="center" vertical="center"/>
      <protection hidden="1"/>
    </xf>
    <xf numFmtId="2" fontId="64" fillId="10" borderId="1" xfId="0" applyNumberFormat="1" applyFont="1" applyFill="1" applyBorder="1" applyAlignment="1" applyProtection="1">
      <alignment horizontal="center" vertical="center" wrapText="1"/>
      <protection hidden="1"/>
    </xf>
    <xf numFmtId="2" fontId="64" fillId="3" borderId="0" xfId="0" applyNumberFormat="1" applyFont="1" applyFill="1" applyBorder="1" applyAlignment="1" applyProtection="1">
      <alignment horizontal="center" vertical="center"/>
      <protection hidden="1"/>
    </xf>
    <xf numFmtId="2" fontId="64" fillId="3" borderId="0" xfId="0" applyNumberFormat="1" applyFont="1" applyFill="1" applyBorder="1" applyAlignment="1" applyProtection="1">
      <alignment vertical="center"/>
      <protection hidden="1"/>
    </xf>
    <xf numFmtId="2" fontId="65" fillId="6" borderId="1" xfId="0" applyNumberFormat="1" applyFont="1" applyFill="1" applyBorder="1" applyAlignment="1" applyProtection="1">
      <alignment horizontal="left" vertical="center" wrapText="1"/>
      <protection hidden="1"/>
    </xf>
    <xf numFmtId="2" fontId="30" fillId="6" borderId="1" xfId="0" applyNumberFormat="1" applyFont="1" applyFill="1" applyBorder="1" applyAlignment="1" applyProtection="1">
      <alignment horizontal="center" vertical="center"/>
      <protection hidden="1"/>
    </xf>
    <xf numFmtId="2" fontId="30" fillId="17" borderId="1" xfId="0" applyNumberFormat="1" applyFont="1" applyFill="1" applyBorder="1" applyAlignment="1" applyProtection="1">
      <alignment horizontal="center" vertical="center"/>
      <protection hidden="1"/>
    </xf>
    <xf numFmtId="0" fontId="66" fillId="6" borderId="1" xfId="2" applyFont="1" applyFill="1" applyBorder="1" applyAlignment="1" applyProtection="1">
      <alignment horizontal="center" vertical="center"/>
      <protection hidden="1"/>
    </xf>
    <xf numFmtId="174" fontId="30" fillId="17" borderId="1" xfId="0" applyNumberFormat="1" applyFont="1" applyFill="1" applyBorder="1" applyAlignment="1" applyProtection="1">
      <alignment horizontal="center" vertical="center"/>
      <protection hidden="1"/>
    </xf>
    <xf numFmtId="2" fontId="30" fillId="6" borderId="3" xfId="0" applyNumberFormat="1" applyFont="1" applyFill="1" applyBorder="1" applyAlignment="1" applyProtection="1">
      <alignment horizontal="center" vertical="center"/>
      <protection hidden="1"/>
    </xf>
  </cellXfs>
  <cellStyles count="5">
    <cellStyle name="Bueno" xfId="2" builtinId="26"/>
    <cellStyle name="Estilo 1" xfId="3"/>
    <cellStyle name="Estilo 2" xfId="4"/>
    <cellStyle name="Normal" xfId="0" builtinId="0"/>
    <cellStyle name="Porcentaje" xfId="1" builtinId="5"/>
  </cellStyles>
  <dxfs count="1">
    <dxf>
      <font>
        <color rgb="FF9C0006"/>
      </font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ACB9CA"/>
      <color rgb="FF8DB4E2"/>
      <color rgb="FFB6FD03"/>
      <color rgb="FFFFF2CC"/>
      <color rgb="FFF4B084"/>
      <color rgb="FFDDEBF7"/>
      <color rgb="FFBDD7EE"/>
      <color rgb="FFFFC000"/>
      <color rgb="FFFF9900"/>
      <color rgb="FF1F4E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DATOS!$B$98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(DATOS!$G$98,DATOS!$G$99,DATOS!$G$100)</c:f>
              <c:numCache>
                <c:formatCode>General</c:formatCode>
                <c:ptCount val="3"/>
                <c:pt idx="0">
                  <c:v>18.2</c:v>
                </c:pt>
                <c:pt idx="1">
                  <c:v>20.100000000000001</c:v>
                </c:pt>
                <c:pt idx="2" formatCode="0.0">
                  <c:v>22</c:v>
                </c:pt>
              </c:numCache>
            </c:numRef>
          </c:xVal>
          <c:yVal>
            <c:numRef>
              <c:f>(DATOS!$I$98,DATOS!$I$99,DATOS!$I$100)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F7F-420D-880E-3DCB938A21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63821616"/>
        <c:axId val="-1663810192"/>
      </c:scatterChart>
      <c:valAx>
        <c:axId val="-1663821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3810192"/>
        <c:crosses val="autoZero"/>
        <c:crossBetween val="midCat"/>
      </c:valAx>
      <c:valAx>
        <c:axId val="-1663810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38216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DATOS!$B$130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DATOS!$G$130:$G$132</c:f>
              <c:numCache>
                <c:formatCode>General</c:formatCode>
                <c:ptCount val="3"/>
                <c:pt idx="0">
                  <c:v>18.100000000000001</c:v>
                </c:pt>
                <c:pt idx="1">
                  <c:v>20.100000000000001</c:v>
                </c:pt>
                <c:pt idx="2" formatCode="0.0">
                  <c:v>22</c:v>
                </c:pt>
              </c:numCache>
            </c:numRef>
          </c:xVal>
          <c:yVal>
            <c:numRef>
              <c:f>DATOS!$I$130:$I$132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65B-43A2-AF74-A1455E3C13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63811824"/>
        <c:axId val="-1663808016"/>
      </c:scatterChart>
      <c:valAx>
        <c:axId val="-1663811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3808016"/>
        <c:crosses val="autoZero"/>
        <c:crossBetween val="midCat"/>
      </c:valAx>
      <c:valAx>
        <c:axId val="-1663808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38118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2.4616173895377985E-2"/>
          <c:y val="5.72172637662305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DATOS!$B$133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344235107210112"/>
                  <c:y val="-0.46215928423106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DATOS!$G$133:$G$135</c:f>
              <c:numCache>
                <c:formatCode>General</c:formatCode>
                <c:ptCount val="3"/>
                <c:pt idx="0">
                  <c:v>41.8</c:v>
                </c:pt>
                <c:pt idx="1">
                  <c:v>50.6</c:v>
                </c:pt>
                <c:pt idx="2">
                  <c:v>59.4</c:v>
                </c:pt>
              </c:numCache>
            </c:numRef>
          </c:xVal>
          <c:yVal>
            <c:numRef>
              <c:f>DATOS!$I$133:$I$135</c:f>
              <c:numCache>
                <c:formatCode>General</c:formatCode>
                <c:ptCount val="3"/>
                <c:pt idx="0">
                  <c:v>-1.8</c:v>
                </c:pt>
                <c:pt idx="1">
                  <c:v>-0.6</c:v>
                </c:pt>
                <c:pt idx="2">
                  <c:v>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FEC-47A0-AD22-903A0D806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63809104"/>
        <c:axId val="-1663811280"/>
      </c:scatterChart>
      <c:valAx>
        <c:axId val="-1663809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3811280"/>
        <c:crosses val="autoZero"/>
        <c:crossBetween val="midCat"/>
      </c:valAx>
      <c:valAx>
        <c:axId val="-1663811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38091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DATOS!$B$136</c:f>
              <c:strCache>
                <c:ptCount val="1"/>
                <c:pt idx="0">
                  <c:v>Presión Admosferica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DATOS!$G$136:$G$138</c:f>
              <c:numCache>
                <c:formatCode>General</c:formatCode>
                <c:ptCount val="3"/>
                <c:pt idx="0">
                  <c:v>397.9</c:v>
                </c:pt>
                <c:pt idx="1">
                  <c:v>753.2</c:v>
                </c:pt>
                <c:pt idx="2">
                  <c:v>1099.3</c:v>
                </c:pt>
              </c:numCache>
            </c:numRef>
          </c:xVal>
          <c:yVal>
            <c:numRef>
              <c:f>DATOS!$I$136:$I$138</c:f>
              <c:numCache>
                <c:formatCode>0.00</c:formatCode>
                <c:ptCount val="3"/>
                <c:pt idx="0" formatCode="General">
                  <c:v>-1.3</c:v>
                </c:pt>
                <c:pt idx="1">
                  <c:v>-0.64100000000000001</c:v>
                </c:pt>
                <c:pt idx="2" formatCode="General">
                  <c:v>-0.06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EEA-4219-9625-4B0AF297E7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63810736"/>
        <c:axId val="-1660142784"/>
      </c:scatterChart>
      <c:valAx>
        <c:axId val="-1663810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0142784"/>
        <c:crosses val="autoZero"/>
        <c:crossBetween val="midCat"/>
      </c:valAx>
      <c:valAx>
        <c:axId val="-1660142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38107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DATOS!$B$140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DATOS!$G$140:$G$142</c:f>
              <c:numCache>
                <c:formatCode>0.0</c:formatCode>
                <c:ptCount val="3"/>
                <c:pt idx="0" formatCode="General">
                  <c:v>18.2</c:v>
                </c:pt>
                <c:pt idx="1">
                  <c:v>20</c:v>
                </c:pt>
                <c:pt idx="2">
                  <c:v>22</c:v>
                </c:pt>
              </c:numCache>
            </c:numRef>
          </c:xVal>
          <c:yVal>
            <c:numRef>
              <c:f>DATOS!$I$140:$I$142</c:f>
              <c:numCache>
                <c:formatCode>General</c:formatCode>
                <c:ptCount val="3"/>
                <c:pt idx="0">
                  <c:v>0</c:v>
                </c:pt>
                <c:pt idx="1">
                  <c:v>0.1</c:v>
                </c:pt>
                <c:pt idx="2" formatCode="0.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2E7-4458-AC4D-AC27F9CB5D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60138432"/>
        <c:axId val="-1660137888"/>
      </c:scatterChart>
      <c:valAx>
        <c:axId val="-1660138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0137888"/>
        <c:crosses val="autoZero"/>
        <c:crossBetween val="midCat"/>
      </c:valAx>
      <c:valAx>
        <c:axId val="-166013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01384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2.4616173895377985E-2"/>
          <c:y val="5.72172637662305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DATOS!$B$143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344235107210112"/>
                  <c:y val="-0.46215928423106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DATOS!$G$143:$G$145</c:f>
              <c:numCache>
                <c:formatCode>General</c:formatCode>
                <c:ptCount val="3"/>
                <c:pt idx="0">
                  <c:v>41.8</c:v>
                </c:pt>
                <c:pt idx="1">
                  <c:v>50.5</c:v>
                </c:pt>
                <c:pt idx="2">
                  <c:v>59.3</c:v>
                </c:pt>
              </c:numCache>
            </c:numRef>
          </c:xVal>
          <c:yVal>
            <c:numRef>
              <c:f>DATOS!$I$143:$I$145</c:f>
              <c:numCache>
                <c:formatCode>General</c:formatCode>
                <c:ptCount val="3"/>
                <c:pt idx="0">
                  <c:v>-1.8</c:v>
                </c:pt>
                <c:pt idx="1">
                  <c:v>-0.5</c:v>
                </c:pt>
                <c:pt idx="2">
                  <c:v>0.7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906-4DC2-9698-D3401A13AF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72800528"/>
        <c:axId val="-1572794544"/>
      </c:scatterChart>
      <c:valAx>
        <c:axId val="-1572800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572794544"/>
        <c:crosses val="autoZero"/>
        <c:crossBetween val="midCat"/>
      </c:valAx>
      <c:valAx>
        <c:axId val="-1572794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5728005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DATOS!$B$146</c:f>
              <c:strCache>
                <c:ptCount val="1"/>
                <c:pt idx="0">
                  <c:v>Presión Admosferica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DATOS!$G$146:$G$148</c:f>
              <c:numCache>
                <c:formatCode>General</c:formatCode>
                <c:ptCount val="3"/>
                <c:pt idx="0" formatCode="0.0">
                  <c:v>397.9</c:v>
                </c:pt>
                <c:pt idx="1">
                  <c:v>753.2</c:v>
                </c:pt>
                <c:pt idx="2">
                  <c:v>1099.2</c:v>
                </c:pt>
              </c:numCache>
            </c:numRef>
          </c:xVal>
          <c:yVal>
            <c:numRef>
              <c:f>DATOS!$I$146:$I$148</c:f>
              <c:numCache>
                <c:formatCode>0.00</c:formatCode>
                <c:ptCount val="3"/>
                <c:pt idx="0" formatCode="General">
                  <c:v>-1.34</c:v>
                </c:pt>
                <c:pt idx="1">
                  <c:v>-0.64100000000000001</c:v>
                </c:pt>
                <c:pt idx="2" formatCode="General">
                  <c:v>-0.54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A72-4ECF-A8DB-2416E481E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72801072"/>
        <c:axId val="-1572798896"/>
      </c:scatterChart>
      <c:valAx>
        <c:axId val="-1572801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572798896"/>
        <c:crosses val="autoZero"/>
        <c:crossBetween val="midCat"/>
      </c:valAx>
      <c:valAx>
        <c:axId val="-1572798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5728010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132395562366844E-2"/>
          <c:y val="0.10959118038342176"/>
          <c:w val="0.89016256604346367"/>
          <c:h val="0.80768101300863082"/>
        </c:manualLayout>
      </c:layout>
      <c:scatterChart>
        <c:scatterStyle val="lineMarker"/>
        <c:varyColors val="0"/>
        <c:ser>
          <c:idx val="0"/>
          <c:order val="0"/>
          <c:tx>
            <c:strRef>
              <c:f>'RT03-F34'!$J$125:$J$129</c:f>
              <c:str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strCache>
            </c:strRef>
          </c:tx>
          <c:spPr>
            <a:ln w="25400" cap="rnd">
              <a:solidFill>
                <a:schemeClr val="accent1"/>
              </a:solidFill>
              <a:beve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chemeClr val="accent2">
                  <a:lumMod val="75000"/>
                </a:schemeClr>
              </a:solidFill>
              <a:ln w="25400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6471686320229446"/>
                  <c:y val="-7.271230390325554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xVal>
            <c:numRef>
              <c:f>'RT03-F34'!$J$125:$J$129</c:f>
              <c:numCache>
                <c:formatCode>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xVal>
          <c:yVal>
            <c:numRef>
              <c:f>'RT03-F34'!$K$125:$K$129</c:f>
              <c:numCache>
                <c:formatCode>0.000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 formatCode="0.0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7E0-4CF2-A4CD-71E46C799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72807600"/>
        <c:axId val="-1572803248"/>
      </c:scatterChart>
      <c:valAx>
        <c:axId val="-1572807600"/>
        <c:scaling>
          <c:orientation val="minMax"/>
          <c:max val="45000"/>
          <c:min val="50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cap="none" baseline="0"/>
                  <a:t>CARGA (g)</a:t>
                </a:r>
              </a:p>
            </c:rich>
          </c:tx>
          <c:layout>
            <c:manualLayout>
              <c:xMode val="edge"/>
              <c:yMode val="edge"/>
              <c:x val="0.49284502787607881"/>
              <c:y val="0.829406798814515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572803248"/>
        <c:crosses val="autoZero"/>
        <c:crossBetween val="midCat"/>
        <c:majorUnit val="5000"/>
        <c:minorUnit val="10"/>
      </c:valAx>
      <c:valAx>
        <c:axId val="-1572803248"/>
        <c:scaling>
          <c:orientation val="minMax"/>
          <c:max val="190"/>
          <c:min val="-5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none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cap="none" baseline="0"/>
                  <a:t>Incertidumbre   mg                    </a:t>
                </a:r>
              </a:p>
            </c:rich>
          </c:tx>
          <c:layout>
            <c:manualLayout>
              <c:xMode val="edge"/>
              <c:yMode val="edge"/>
              <c:x val="1.2119361627031297E-2"/>
              <c:y val="0.277740617351224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none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.0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572807600"/>
        <c:crosses val="autoZero"/>
        <c:crossBetween val="midCat"/>
        <c:majorUnit val="20"/>
        <c:min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PRUEBA</a:t>
            </a:r>
            <a:r>
              <a:rPr lang="es-CO" baseline="0"/>
              <a:t> (F)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'[4] CALCULO BALANZAS (VERI)'!$E$155</c:f>
              <c:strCache>
                <c:ptCount val="1"/>
                <c:pt idx="0">
                  <c:v>F  critico (S)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'[4] CALCULO BALANZAS (VERI)'!$E$148:$G$148</c:f>
              <c:numCache>
                <c:formatCode>General</c:formatCode>
                <c:ptCount val="3"/>
                <c:pt idx="0">
                  <c:v>10000</c:v>
                </c:pt>
                <c:pt idx="1">
                  <c:v>20000</c:v>
                </c:pt>
                <c:pt idx="2">
                  <c:v>30000</c:v>
                </c:pt>
              </c:numCache>
            </c:numRef>
          </c:cat>
          <c:val>
            <c:numRef>
              <c:f>'[4] CALCULO BALANZAS (VERI)'!$E$156:$E$158</c:f>
              <c:numCache>
                <c:formatCode>General</c:formatCode>
                <c:ptCount val="3"/>
                <c:pt idx="0">
                  <c:v>2.25</c:v>
                </c:pt>
                <c:pt idx="1">
                  <c:v>2.25</c:v>
                </c:pt>
                <c:pt idx="2">
                  <c:v>2.25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24-439D-9CDD-5728AA08536B}"/>
            </c:ext>
          </c:extLst>
        </c:ser>
        <c:ser>
          <c:idx val="1"/>
          <c:order val="1"/>
          <c:tx>
            <c:strRef>
              <c:f>'[4] CALCULO BALANZAS (VERI)'!$F$155</c:f>
              <c:strCache>
                <c:ptCount val="1"/>
                <c:pt idx="0">
                  <c:v>F critico (I)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'[4] CALCULO BALANZAS (VERI)'!$E$148:$G$148</c:f>
              <c:numCache>
                <c:formatCode>General</c:formatCode>
                <c:ptCount val="3"/>
                <c:pt idx="0">
                  <c:v>10000</c:v>
                </c:pt>
                <c:pt idx="1">
                  <c:v>20000</c:v>
                </c:pt>
                <c:pt idx="2">
                  <c:v>30000</c:v>
                </c:pt>
              </c:numCache>
            </c:numRef>
          </c:cat>
          <c:val>
            <c:numRef>
              <c:f>'[4] CALCULO BALANZAS (VERI)'!$F$156:$F$158</c:f>
              <c:numCache>
                <c:formatCode>General</c:formatCode>
                <c:ptCount val="3"/>
                <c:pt idx="0">
                  <c:v>-2.25</c:v>
                </c:pt>
                <c:pt idx="1">
                  <c:v>-2.25</c:v>
                </c:pt>
                <c:pt idx="2">
                  <c:v>-2.25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24-439D-9CDD-5728AA08536B}"/>
            </c:ext>
          </c:extLst>
        </c:ser>
        <c:ser>
          <c:idx val="3"/>
          <c:order val="2"/>
          <c:tx>
            <c:v>F</c:v>
          </c:tx>
          <c:spPr>
            <a:ln w="22225" cap="rnd">
              <a:solidFill>
                <a:srgbClr val="FFFF00"/>
              </a:solidFill>
            </a:ln>
            <a:effectLst>
              <a:glow rad="139700">
                <a:schemeClr val="accent4">
                  <a:satMod val="175000"/>
                  <a:alpha val="14000"/>
                </a:schemeClr>
              </a:glow>
            </a:effectLst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chemeClr val="accent1"/>
                </a:solidFill>
              </a:ln>
              <a:effectLst>
                <a:glow rad="63500">
                  <a:schemeClr val="accent4">
                    <a:satMod val="175000"/>
                    <a:alpha val="25000"/>
                  </a:schemeClr>
                </a:glow>
              </a:effectLst>
            </c:spPr>
          </c:marker>
          <c:cat>
            <c:numRef>
              <c:f>'[4] CALCULO BALANZAS (VERI)'!$E$148:$G$148</c:f>
              <c:numCache>
                <c:formatCode>General</c:formatCode>
                <c:ptCount val="3"/>
                <c:pt idx="0">
                  <c:v>10000</c:v>
                </c:pt>
                <c:pt idx="1">
                  <c:v>20000</c:v>
                </c:pt>
                <c:pt idx="2">
                  <c:v>30000</c:v>
                </c:pt>
              </c:numCache>
            </c:numRef>
          </c:cat>
          <c:val>
            <c:numRef>
              <c:f>'[4] CALCULO BALANZAS (VERI)'!$E$153:$G$153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24-439D-9CDD-5728AA08536B}"/>
            </c:ext>
          </c:extLst>
        </c:ser>
        <c:ser>
          <c:idx val="2"/>
          <c:order val="3"/>
          <c:tx>
            <c:strRef>
              <c:f>'[4] CALCULO BALANZAS (VERI)'!$E$147:$G$147</c:f>
              <c:strCache>
                <c:ptCount val="1"/>
                <c:pt idx="0">
                  <c:v>CARGAS 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'[4] CALCULO BALANZAS (VERI)'!$E$148:$G$148</c:f>
              <c:numCache>
                <c:formatCode>General</c:formatCode>
                <c:ptCount val="3"/>
                <c:pt idx="0">
                  <c:v>10000</c:v>
                </c:pt>
                <c:pt idx="1">
                  <c:v>20000</c:v>
                </c:pt>
                <c:pt idx="2">
                  <c:v>30000</c:v>
                </c:pt>
              </c:numCache>
              <c:extLst xmlns:c15="http://schemas.microsoft.com/office/drawing/2012/chart"/>
            </c:numRef>
          </c:cat>
          <c:val>
            <c:numRef>
              <c:f>'[4] CALCULO BALANZAS (VERI)'!$E$148:$G$148</c:f>
              <c:numCache>
                <c:formatCode>General</c:formatCode>
                <c:ptCount val="3"/>
                <c:pt idx="0">
                  <c:v>10000</c:v>
                </c:pt>
                <c:pt idx="1">
                  <c:v>20000</c:v>
                </c:pt>
                <c:pt idx="2">
                  <c:v>30000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224-439D-9CDD-5728AA0853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72796176"/>
        <c:axId val="-1572804880"/>
        <c:extLst/>
      </c:lineChart>
      <c:catAx>
        <c:axId val="-157279617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solidFill>
            <a:schemeClr val="accent1"/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572804880"/>
        <c:crosses val="autoZero"/>
        <c:auto val="1"/>
        <c:lblAlgn val="ctr"/>
        <c:lblOffset val="100"/>
        <c:noMultiLvlLbl val="0"/>
      </c:catAx>
      <c:valAx>
        <c:axId val="-1572804880"/>
        <c:scaling>
          <c:orientation val="minMax"/>
          <c:max val="5"/>
          <c:min val="-5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5727961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50000"/>
                <a:lumOff val="50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ERROR E INCERTIDUMBRE EXPANDIDA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6102975995505345"/>
          <c:y val="0.15223223351960843"/>
          <c:w val="0.7767882213169266"/>
          <c:h val="0.7061824505416423"/>
        </c:manualLayout>
      </c:layout>
      <c:scatterChart>
        <c:scatterStyle val="lineMarker"/>
        <c:varyColors val="0"/>
        <c:ser>
          <c:idx val="0"/>
          <c:order val="0"/>
          <c:tx>
            <c:strRef>
              <c:f>'RT03-F36'!$B$107</c:f>
              <c:strCache>
                <c:ptCount val="1"/>
                <c:pt idx="0">
                  <c:v>ERROR (g)</c:v>
                </c:pt>
              </c:strCache>
            </c:strRef>
          </c:tx>
          <c:spPr>
            <a:ln w="9525" cap="flat" cmpd="sng" algn="ctr">
              <a:noFill/>
              <a:prstDash val="sysDot"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12700" cap="flat" cmpd="sng" algn="ctr">
                <a:solidFill>
                  <a:srgbClr val="FF0000"/>
                </a:solidFill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'RT03-F36'!$C$108:$C$112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'RT03-F36'!$C$108:$C$112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  <c:spPr>
              <a:noFill/>
              <a:ln w="12700" cap="rnd">
                <a:solidFill>
                  <a:schemeClr val="tx1">
                    <a:alpha val="9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rnd">
                <a:solidFill>
                  <a:schemeClr val="dk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'RT03-F36'!$A$108:$A$112</c:f>
              <c:numCache>
                <c:formatCode>0.0000</c:formatCode>
                <c:ptCount val="5"/>
                <c:pt idx="0" formatCode="0.00000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xVal>
          <c:yVal>
            <c:numRef>
              <c:f>'RT03-F36'!$B$108:$B$112</c:f>
              <c:numCache>
                <c:formatCode>0.00</c:formatCode>
                <c:ptCount val="5"/>
                <c:pt idx="0">
                  <c:v>-0.10590000000000001</c:v>
                </c:pt>
                <c:pt idx="1">
                  <c:v>0</c:v>
                </c:pt>
                <c:pt idx="2" formatCode="0.0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6B8-4283-AF0C-833A1E749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72802160"/>
        <c:axId val="-1572807056"/>
      </c:scatterChart>
      <c:valAx>
        <c:axId val="-1572802160"/>
        <c:scaling>
          <c:orientation val="minMax"/>
          <c:max val="9000"/>
          <c:min val="-1000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Carga ( g )</a:t>
                </a:r>
              </a:p>
            </c:rich>
          </c:tx>
          <c:layout>
            <c:manualLayout>
              <c:xMode val="edge"/>
              <c:yMode val="edge"/>
              <c:x val="0.43942835078333037"/>
              <c:y val="0.927159401139380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0"/>
        <c:majorTickMark val="none"/>
        <c:minorTickMark val="none"/>
        <c:tickLblPos val="low"/>
        <c:spPr>
          <a:solidFill>
            <a:schemeClr val="bg2"/>
          </a:solidFill>
          <a:ln w="12700" cap="rnd" cmpd="thickThin">
            <a:solidFill>
              <a:schemeClr val="accent1">
                <a:lumMod val="75000"/>
                <a:alpha val="9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572807056"/>
        <c:crosses val="autoZero"/>
        <c:crossBetween val="midCat"/>
        <c:majorUnit val="1000"/>
        <c:minorUnit val="10"/>
      </c:valAx>
      <c:valAx>
        <c:axId val="-1572807056"/>
        <c:scaling>
          <c:orientation val="minMax"/>
          <c:max val="220"/>
          <c:min val="-36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Error e Incertidumbre ( mg )</a:t>
                </a:r>
              </a:p>
            </c:rich>
          </c:tx>
          <c:layout>
            <c:manualLayout>
              <c:xMode val="edge"/>
              <c:yMode val="edge"/>
              <c:x val="8.6280109763693213E-2"/>
              <c:y val="0.197381825005962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rnd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572802160"/>
        <c:crossesAt val="0"/>
        <c:crossBetween val="midCat"/>
        <c:majorUnit val="50"/>
        <c:minorUnit val="4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 w="12700" cmpd="thickThin">
          <a:solidFill>
            <a:schemeClr val="accent1">
              <a:lumMod val="75000"/>
            </a:schemeClr>
          </a:solidFill>
        </a:ln>
        <a:effectLst>
          <a:softEdge rad="419100"/>
        </a:effectLst>
      </c:spPr>
    </c:plotArea>
    <c:plotVisOnly val="1"/>
    <c:dispBlanksAs val="gap"/>
    <c:showDLblsOverMax val="0"/>
  </c:chart>
  <c:spPr>
    <a:solidFill>
      <a:schemeClr val="accent2">
        <a:lumMod val="40000"/>
        <a:lumOff val="60000"/>
      </a:schemeClr>
    </a:solidFill>
    <a:ln w="12700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DATOS!$B$101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(DATOS!$G$101,DATOS!$G$102,DATOS!$G$103)</c:f>
              <c:numCache>
                <c:formatCode>General</c:formatCode>
                <c:ptCount val="3"/>
                <c:pt idx="0">
                  <c:v>41.8</c:v>
                </c:pt>
                <c:pt idx="1">
                  <c:v>50.4</c:v>
                </c:pt>
                <c:pt idx="2">
                  <c:v>59.3</c:v>
                </c:pt>
              </c:numCache>
            </c:numRef>
          </c:xVal>
          <c:yVal>
            <c:numRef>
              <c:f>(DATOS!$I$101,DATOS!$I$102,DATOS!$I$103)</c:f>
              <c:numCache>
                <c:formatCode>General</c:formatCode>
                <c:ptCount val="3"/>
                <c:pt idx="0">
                  <c:v>-1.8</c:v>
                </c:pt>
                <c:pt idx="1">
                  <c:v>-0.4</c:v>
                </c:pt>
                <c:pt idx="2">
                  <c:v>0.8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9B0-4C86-A185-76E54227A9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63809648"/>
        <c:axId val="-1663818352"/>
      </c:scatterChart>
      <c:valAx>
        <c:axId val="-1663809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3818352"/>
        <c:crosses val="autoZero"/>
        <c:crossBetween val="midCat"/>
      </c:valAx>
      <c:valAx>
        <c:axId val="-166381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38096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DATOS!$B$104</c:f>
              <c:strCache>
                <c:ptCount val="1"/>
                <c:pt idx="0">
                  <c:v>Presión Admosferica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5.3118003444242175E-2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(DATOS!$G$104,DATOS!$G$105,DATOS!$G$106)</c:f>
              <c:numCache>
                <c:formatCode>General</c:formatCode>
                <c:ptCount val="3"/>
                <c:pt idx="0">
                  <c:v>397.9</c:v>
                </c:pt>
                <c:pt idx="1">
                  <c:v>753.1</c:v>
                </c:pt>
                <c:pt idx="2" formatCode="0.0">
                  <c:v>899</c:v>
                </c:pt>
              </c:numCache>
            </c:numRef>
          </c:xVal>
          <c:yVal>
            <c:numRef>
              <c:f>(DATOS!$I$104,DATOS!$I$105,DATOS!$I$106)</c:f>
              <c:numCache>
                <c:formatCode>General</c:formatCode>
                <c:ptCount val="3"/>
                <c:pt idx="0">
                  <c:v>-1.3</c:v>
                </c:pt>
                <c:pt idx="1">
                  <c:v>-0.74</c:v>
                </c:pt>
                <c:pt idx="2">
                  <c:v>-0.09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B15-42DF-9B32-2A0114C30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63807472"/>
        <c:axId val="-1663814544"/>
      </c:scatterChart>
      <c:valAx>
        <c:axId val="-1663807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3814544"/>
        <c:crosses val="autoZero"/>
        <c:crossBetween val="midCat"/>
      </c:valAx>
      <c:valAx>
        <c:axId val="-1663814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38074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DATOS!$B$115</c:f>
              <c:strCache>
                <c:ptCount val="1"/>
                <c:pt idx="0">
                  <c:v>Presión Admosferica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(DATOS!$G$115,DATOS!$G$116,DATOS!$G$117)</c:f>
              <c:numCache>
                <c:formatCode>General</c:formatCode>
                <c:ptCount val="3"/>
                <c:pt idx="0" formatCode="0.0">
                  <c:v>499</c:v>
                </c:pt>
                <c:pt idx="1">
                  <c:v>799.8</c:v>
                </c:pt>
                <c:pt idx="2">
                  <c:v>1099.8</c:v>
                </c:pt>
              </c:numCache>
            </c:numRef>
          </c:xVal>
          <c:yVal>
            <c:numRef>
              <c:f>(DATOS!$I$104,DATOS!$I$105,DATOS!$I$106,DATOS!$I$115,DATOS!$I$116,DATOS!$I$117)</c:f>
              <c:numCache>
                <c:formatCode>General</c:formatCode>
                <c:ptCount val="6"/>
                <c:pt idx="0">
                  <c:v>-1.3</c:v>
                </c:pt>
                <c:pt idx="1">
                  <c:v>-0.74</c:v>
                </c:pt>
                <c:pt idx="2">
                  <c:v>-0.09</c:v>
                </c:pt>
                <c:pt idx="3" formatCode="#,##0.0">
                  <c:v>-1</c:v>
                </c:pt>
                <c:pt idx="4" formatCode="#,##0.0">
                  <c:v>-0.4</c:v>
                </c:pt>
                <c:pt idx="5" formatCode="#,##0.0">
                  <c:v>-0.4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0B6-42C0-AE39-CAA2DE64FE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63806928"/>
        <c:axId val="-1663816720"/>
      </c:scatterChart>
      <c:valAx>
        <c:axId val="-1663806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3816720"/>
        <c:crosses val="autoZero"/>
        <c:crossBetween val="midCat"/>
      </c:valAx>
      <c:valAx>
        <c:axId val="-1663816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38069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DATOS!$B$112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344235107210112"/>
                  <c:y val="-0.46215928423106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DATOS!$G$112:$G$114</c:f>
              <c:numCache>
                <c:formatCode>General</c:formatCode>
                <c:ptCount val="3"/>
                <c:pt idx="0">
                  <c:v>50.1</c:v>
                </c:pt>
                <c:pt idx="1">
                  <c:v>59.9</c:v>
                </c:pt>
                <c:pt idx="2">
                  <c:v>69.099999999999994</c:v>
                </c:pt>
              </c:numCache>
            </c:numRef>
          </c:xVal>
          <c:yVal>
            <c:numRef>
              <c:f>DATOS!$I$112:$I$114</c:f>
              <c:numCache>
                <c:formatCode>#,##0.0</c:formatCode>
                <c:ptCount val="3"/>
                <c:pt idx="0">
                  <c:v>0.9</c:v>
                </c:pt>
                <c:pt idx="1">
                  <c:v>0.5</c:v>
                </c:pt>
                <c:pt idx="2">
                  <c:v>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62D-438E-AA40-D37E2F3E2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63816176"/>
        <c:axId val="-1663808560"/>
      </c:scatterChart>
      <c:valAx>
        <c:axId val="-1663816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3808560"/>
        <c:crosses val="autoZero"/>
        <c:crossBetween val="midCat"/>
      </c:valAx>
      <c:valAx>
        <c:axId val="-1663808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3816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DATOS!$B$109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DATOS!$G$109:$G$111</c:f>
              <c:numCache>
                <c:formatCode>General</c:formatCode>
                <c:ptCount val="3"/>
                <c:pt idx="0" formatCode="0.0">
                  <c:v>20</c:v>
                </c:pt>
                <c:pt idx="1">
                  <c:v>28.1</c:v>
                </c:pt>
                <c:pt idx="2">
                  <c:v>32.1</c:v>
                </c:pt>
              </c:numCache>
            </c:numRef>
          </c:xVal>
          <c:yVal>
            <c:numRef>
              <c:f>DATOS!$I$109:$I$111</c:f>
              <c:numCache>
                <c:formatCode>General</c:formatCode>
                <c:ptCount val="3"/>
                <c:pt idx="0">
                  <c:v>-0.1</c:v>
                </c:pt>
                <c:pt idx="1">
                  <c:v>0.1</c:v>
                </c:pt>
                <c:pt idx="2">
                  <c:v>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6CA-4161-85EF-E96DE0E23C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63806384"/>
        <c:axId val="-1663819984"/>
      </c:scatterChart>
      <c:valAx>
        <c:axId val="-1663806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3819984"/>
        <c:crosses val="autoZero"/>
        <c:crossBetween val="midCat"/>
      </c:valAx>
      <c:valAx>
        <c:axId val="-1663819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38063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DATOS!$B$120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DATOS!$G$120:$G$122</c:f>
              <c:numCache>
                <c:formatCode>General</c:formatCode>
                <c:ptCount val="3"/>
                <c:pt idx="0" formatCode="0.0">
                  <c:v>16</c:v>
                </c:pt>
                <c:pt idx="1">
                  <c:v>20.100000000000001</c:v>
                </c:pt>
                <c:pt idx="2">
                  <c:v>24.4</c:v>
                </c:pt>
              </c:numCache>
            </c:numRef>
          </c:xVal>
          <c:yVal>
            <c:numRef>
              <c:f>DATOS!$I$120:$I$122</c:f>
              <c:numCache>
                <c:formatCode>General</c:formatCode>
                <c:ptCount val="3"/>
                <c:pt idx="0">
                  <c:v>-0.1</c:v>
                </c:pt>
                <c:pt idx="1">
                  <c:v>-0.1</c:v>
                </c:pt>
                <c:pt idx="2">
                  <c:v>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AB5-4912-8CC8-A254EF392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63815088"/>
        <c:axId val="-1663821072"/>
      </c:scatterChart>
      <c:valAx>
        <c:axId val="-1663815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3821072"/>
        <c:crosses val="autoZero"/>
        <c:crossBetween val="midCat"/>
      </c:valAx>
      <c:valAx>
        <c:axId val="-1663821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3815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2.4616173895377985E-2"/>
          <c:y val="5.72172637662305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DATOS!$B$123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344235107210112"/>
                  <c:y val="-0.46215928423106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DATOS!$G$123:$G$125</c:f>
              <c:numCache>
                <c:formatCode>General</c:formatCode>
                <c:ptCount val="3"/>
                <c:pt idx="0">
                  <c:v>39.5</c:v>
                </c:pt>
                <c:pt idx="1">
                  <c:v>49.8</c:v>
                </c:pt>
                <c:pt idx="2">
                  <c:v>59.3</c:v>
                </c:pt>
              </c:numCache>
            </c:numRef>
          </c:xVal>
          <c:yVal>
            <c:numRef>
              <c:f>DATOS!$I$123:$I$125</c:f>
              <c:numCache>
                <c:formatCode>General</c:formatCode>
                <c:ptCount val="3"/>
                <c:pt idx="0">
                  <c:v>0.79</c:v>
                </c:pt>
                <c:pt idx="1">
                  <c:v>0.63</c:v>
                </c:pt>
                <c:pt idx="2">
                  <c:v>-0.13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730-4D5A-90EF-774CD6F7D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63814000"/>
        <c:axId val="-1663813456"/>
      </c:scatterChart>
      <c:valAx>
        <c:axId val="-1663814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3813456"/>
        <c:crosses val="autoZero"/>
        <c:crossBetween val="midCat"/>
      </c:valAx>
      <c:valAx>
        <c:axId val="-1663813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38140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DATOS!$B$126</c:f>
              <c:strCache>
                <c:ptCount val="1"/>
                <c:pt idx="0">
                  <c:v>Presión Admosferica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DATOS!$G$126:$G$128</c:f>
              <c:numCache>
                <c:formatCode>General</c:formatCode>
                <c:ptCount val="3"/>
                <c:pt idx="0" formatCode="0.0">
                  <c:v>499</c:v>
                </c:pt>
                <c:pt idx="1">
                  <c:v>799.8</c:v>
                </c:pt>
                <c:pt idx="2">
                  <c:v>1099.9000000000001</c:v>
                </c:pt>
              </c:numCache>
            </c:numRef>
          </c:xVal>
          <c:yVal>
            <c:numRef>
              <c:f>DATOS!$I$126:$I$128</c:f>
              <c:numCache>
                <c:formatCode>0.0</c:formatCode>
                <c:ptCount val="3"/>
                <c:pt idx="0">
                  <c:v>-1</c:v>
                </c:pt>
                <c:pt idx="1">
                  <c:v>-0.4</c:v>
                </c:pt>
                <c:pt idx="2">
                  <c:v>-0.3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03C-43EE-A74D-14FFE8133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63812912"/>
        <c:axId val="-1663812368"/>
      </c:scatterChart>
      <c:valAx>
        <c:axId val="-1663812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3812368"/>
        <c:crosses val="autoZero"/>
        <c:crossBetween val="midCat"/>
      </c:valAx>
      <c:valAx>
        <c:axId val="-166381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38129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chart" Target="../charts/chart16.xml"/><Relationship Id="rId6" Type="http://schemas.openxmlformats.org/officeDocument/2006/relationships/chart" Target="../charts/chart17.xml"/><Relationship Id="rId5" Type="http://schemas.openxmlformats.org/officeDocument/2006/relationships/image" Target="file:///\\Abeltran\publico\Logo%20completo.gif" TargetMode="External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231323</xdr:colOff>
      <xdr:row>95</xdr:row>
      <xdr:rowOff>340179</xdr:rowOff>
    </xdr:from>
    <xdr:to>
      <xdr:col>14</xdr:col>
      <xdr:colOff>979713</xdr:colOff>
      <xdr:row>99</xdr:row>
      <xdr:rowOff>95251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217714</xdr:colOff>
      <xdr:row>99</xdr:row>
      <xdr:rowOff>108857</xdr:rowOff>
    </xdr:from>
    <xdr:to>
      <xdr:col>14</xdr:col>
      <xdr:colOff>966104</xdr:colOff>
      <xdr:row>102</xdr:row>
      <xdr:rowOff>244929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217714</xdr:colOff>
      <xdr:row>102</xdr:row>
      <xdr:rowOff>299357</xdr:rowOff>
    </xdr:from>
    <xdr:to>
      <xdr:col>14</xdr:col>
      <xdr:colOff>966104</xdr:colOff>
      <xdr:row>106</xdr:row>
      <xdr:rowOff>54429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204107</xdr:colOff>
      <xdr:row>114</xdr:row>
      <xdr:rowOff>0</xdr:rowOff>
    </xdr:from>
    <xdr:to>
      <xdr:col>14</xdr:col>
      <xdr:colOff>952497</xdr:colOff>
      <xdr:row>117</xdr:row>
      <xdr:rowOff>136072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190501</xdr:colOff>
      <xdr:row>110</xdr:row>
      <xdr:rowOff>204107</xdr:rowOff>
    </xdr:from>
    <xdr:to>
      <xdr:col>14</xdr:col>
      <xdr:colOff>938891</xdr:colOff>
      <xdr:row>113</xdr:row>
      <xdr:rowOff>340179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204107</xdr:colOff>
      <xdr:row>107</xdr:row>
      <xdr:rowOff>54429</xdr:rowOff>
    </xdr:from>
    <xdr:to>
      <xdr:col>14</xdr:col>
      <xdr:colOff>952497</xdr:colOff>
      <xdr:row>110</xdr:row>
      <xdr:rowOff>190501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176892</xdr:colOff>
      <xdr:row>117</xdr:row>
      <xdr:rowOff>380999</xdr:rowOff>
    </xdr:from>
    <xdr:to>
      <xdr:col>14</xdr:col>
      <xdr:colOff>925282</xdr:colOff>
      <xdr:row>121</xdr:row>
      <xdr:rowOff>136071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149680</xdr:colOff>
      <xdr:row>121</xdr:row>
      <xdr:rowOff>163286</xdr:rowOff>
    </xdr:from>
    <xdr:to>
      <xdr:col>14</xdr:col>
      <xdr:colOff>898070</xdr:colOff>
      <xdr:row>124</xdr:row>
      <xdr:rowOff>299358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136072</xdr:colOff>
      <xdr:row>124</xdr:row>
      <xdr:rowOff>340178</xdr:rowOff>
    </xdr:from>
    <xdr:to>
      <xdr:col>14</xdr:col>
      <xdr:colOff>884462</xdr:colOff>
      <xdr:row>128</xdr:row>
      <xdr:rowOff>95250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136071</xdr:colOff>
      <xdr:row>128</xdr:row>
      <xdr:rowOff>244928</xdr:rowOff>
    </xdr:from>
    <xdr:to>
      <xdr:col>14</xdr:col>
      <xdr:colOff>884461</xdr:colOff>
      <xdr:row>132</xdr:row>
      <xdr:rowOff>0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13</xdr:col>
      <xdr:colOff>149679</xdr:colOff>
      <xdr:row>132</xdr:row>
      <xdr:rowOff>27215</xdr:rowOff>
    </xdr:from>
    <xdr:to>
      <xdr:col>14</xdr:col>
      <xdr:colOff>898069</xdr:colOff>
      <xdr:row>135</xdr:row>
      <xdr:rowOff>163287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122464</xdr:colOff>
      <xdr:row>135</xdr:row>
      <xdr:rowOff>204107</xdr:rowOff>
    </xdr:from>
    <xdr:to>
      <xdr:col>14</xdr:col>
      <xdr:colOff>870854</xdr:colOff>
      <xdr:row>138</xdr:row>
      <xdr:rowOff>340179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108858</xdr:colOff>
      <xdr:row>139</xdr:row>
      <xdr:rowOff>0</xdr:rowOff>
    </xdr:from>
    <xdr:to>
      <xdr:col>14</xdr:col>
      <xdr:colOff>857248</xdr:colOff>
      <xdr:row>142</xdr:row>
      <xdr:rowOff>136072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95250</xdr:colOff>
      <xdr:row>142</xdr:row>
      <xdr:rowOff>149678</xdr:rowOff>
    </xdr:from>
    <xdr:to>
      <xdr:col>14</xdr:col>
      <xdr:colOff>843640</xdr:colOff>
      <xdr:row>145</xdr:row>
      <xdr:rowOff>285750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81642</xdr:colOff>
      <xdr:row>145</xdr:row>
      <xdr:rowOff>299358</xdr:rowOff>
    </xdr:from>
    <xdr:to>
      <xdr:col>14</xdr:col>
      <xdr:colOff>830032</xdr:colOff>
      <xdr:row>149</xdr:row>
      <xdr:rowOff>54430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281745</xdr:colOff>
      <xdr:row>71</xdr:row>
      <xdr:rowOff>25950</xdr:rowOff>
    </xdr:from>
    <xdr:ext cx="2025739" cy="35376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SpPr txBox="1"/>
          </xdr:nvSpPr>
          <xdr:spPr>
            <a:xfrm>
              <a:off x="2377245" y="25634593"/>
              <a:ext cx="2025739" cy="3537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  <m:r>
                          <a:rPr lang="es-ES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ES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𝛿</m:t>
                        </m:r>
                        <m:r>
                          <a:rPr lang="es-ES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</m:e>
                      <m:sub>
                        <m:r>
                          <a:rPr lang="es-ES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𝑒𝑐𝑐</m:t>
                        </m:r>
                      </m:sub>
                    </m:sSub>
                    <m:r>
                      <a:rPr lang="es-ES" sz="105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)=</m:t>
                    </m:r>
                    <m:f>
                      <m:fPr>
                        <m:ctrlP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| </m:t>
                            </m:r>
                            <m:sSub>
                              <m:sSubPr>
                                <m:ctrlPr>
                                  <a:rPr lang="es-CO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ES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∆</m:t>
                                </m:r>
                                <m:r>
                                  <a:rPr lang="es-ES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𝐼</m:t>
                                </m:r>
                              </m:e>
                              <m:sub>
                                <m:r>
                                  <a:rPr lang="es-ES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𝑒𝑐𝑐</m:t>
                                </m:r>
                                <m:r>
                                  <a:rPr lang="es-ES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.</m:t>
                                </m:r>
                                <m:r>
                                  <a:rPr lang="es-ES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𝑖</m:t>
                                </m:r>
                              </m:sub>
                            </m:sSub>
                            <m:r>
                              <a:rPr lang="es-ES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|</m:t>
                            </m:r>
                          </m:e>
                          <m:sub>
                            <m:r>
                              <a:rPr lang="es-ES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𝑚𝑎𝑥</m:t>
                            </m:r>
                          </m:sub>
                        </m:sSub>
                      </m:num>
                      <m:den>
                        <m:r>
                          <a:rPr lang="es-ES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sSub>
                          <m:sSub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  <m:r>
                              <a:rPr lang="es-ES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𝐿</m:t>
                            </m:r>
                          </m:e>
                          <m:sub>
                            <m:r>
                              <a:rPr lang="es-ES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𝑒𝑐𝑐</m:t>
                            </m:r>
                            <m:rad>
                              <m:radPr>
                                <m:degHide m:val="on"/>
                                <m:ctrlPr>
                                  <a:rPr lang="es-CO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radPr>
                              <m:deg/>
                              <m:e>
                                <m:r>
                                  <a:rPr lang="es-ES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3</m:t>
                                </m:r>
                              </m:e>
                            </m:rad>
                          </m:sub>
                        </m:sSub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den>
                    </m:f>
                  </m:oMath>
                </m:oMathPara>
              </a14:m>
              <a:endParaRPr lang="es-CO" sz="1000" b="1"/>
            </a:p>
          </xdr:txBody>
        </xdr:sp>
      </mc:Choice>
      <mc:Fallback xmlns="">
        <xdr:sp macro="" textlink="">
          <xdr:nvSpPr>
            <xdr:cNvPr id="2" name="CuadroTexto 1"/>
            <xdr:cNvSpPr txBox="1"/>
          </xdr:nvSpPr>
          <xdr:spPr>
            <a:xfrm>
              <a:off x="2377245" y="25634593"/>
              <a:ext cx="2025739" cy="3537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𝑢(𝛿𝐼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𝑒𝑐𝑐)=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 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∆𝐼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〗_(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𝑒𝑐𝑐.𝑖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|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𝑚𝑎𝑥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/(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2𝐿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〗_(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𝑒𝑐𝑐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))</a:t>
              </a:r>
              <a:endParaRPr lang="es-CO" sz="1000" b="1"/>
            </a:p>
          </xdr:txBody>
        </xdr:sp>
      </mc:Fallback>
    </mc:AlternateContent>
    <xdr:clientData/>
  </xdr:oneCellAnchor>
  <xdr:oneCellAnchor>
    <xdr:from>
      <xdr:col>10</xdr:col>
      <xdr:colOff>379344</xdr:colOff>
      <xdr:row>79</xdr:row>
      <xdr:rowOff>192983</xdr:rowOff>
    </xdr:from>
    <xdr:ext cx="65" cy="172227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3714344" y="3205410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 b="1"/>
        </a:p>
      </xdr:txBody>
    </xdr:sp>
    <xdr:clientData/>
  </xdr:oneCellAnchor>
  <xdr:oneCellAnchor>
    <xdr:from>
      <xdr:col>1</xdr:col>
      <xdr:colOff>256442</xdr:colOff>
      <xdr:row>59</xdr:row>
      <xdr:rowOff>117231</xdr:rowOff>
    </xdr:from>
    <xdr:ext cx="65" cy="172227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142267" y="2500605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</xdr:col>
      <xdr:colOff>304800</xdr:colOff>
      <xdr:row>58</xdr:row>
      <xdr:rowOff>95983</xdr:rowOff>
    </xdr:from>
    <xdr:ext cx="65" cy="17222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190625" y="2218445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36370</xdr:colOff>
      <xdr:row>38</xdr:row>
      <xdr:rowOff>2596</xdr:rowOff>
    </xdr:from>
    <xdr:ext cx="796052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SpPr txBox="1"/>
          </xdr:nvSpPr>
          <xdr:spPr>
            <a:xfrm>
              <a:off x="922195" y="15042571"/>
              <a:ext cx="796052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400" b="1" i="1">
                      <a:latin typeface="Cambria Math" panose="02040503050406030204" pitchFamily="18" charset="0"/>
                    </a:rPr>
                    <m:t> </m:t>
                  </m:r>
                  <m:sSub>
                    <m:sSubPr>
                      <m:ctrlPr>
                        <a:rPr lang="es-CO" sz="1400" b="1" i="1">
                          <a:latin typeface="Cambria Math" panose="02040503050406030204" pitchFamily="18" charset="0"/>
                        </a:rPr>
                      </m:ctrlPr>
                    </m:sSubPr>
                    <m:e>
                      <m:d>
                        <m:dPr>
                          <m:begChr m:val="|"/>
                          <m:endChr m:val="|"/>
                          <m:ctrlPr>
                            <a:rPr lang="es-CO" sz="12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sSub>
                            <m:sSubPr>
                              <m:ctrlPr>
                                <a:rPr lang="es-CO" sz="12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s-CO" sz="12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∆</m:t>
                              </m:r>
                              <m:r>
                                <a:rPr lang="es-CO" sz="12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𝑰</m:t>
                              </m:r>
                            </m:e>
                            <m:sub>
                              <m:r>
                                <a:rPr lang="es-CO" sz="12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𝒆𝒄𝒄</m:t>
                              </m:r>
                            </m:sub>
                          </m:sSub>
                        </m:e>
                      </m:d>
                    </m:e>
                    <m:sub>
                      <m:r>
                        <a:rPr lang="es-CO" sz="1400" b="1" i="1">
                          <a:latin typeface="Cambria Math" panose="02040503050406030204" pitchFamily="18" charset="0"/>
                        </a:rPr>
                        <m:t>𝒎𝒂𝒙</m:t>
                      </m:r>
                    </m:sub>
                  </m:sSub>
                </m:oMath>
              </a14:m>
              <a:r>
                <a:rPr lang="es-CO" sz="1100" b="1" i="1"/>
                <a:t> </a:t>
              </a:r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922195" y="15042571"/>
              <a:ext cx="796052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400" b="1" i="0">
                  <a:latin typeface="Cambria Math" panose="02040503050406030204" pitchFamily="18" charset="0"/>
                </a:rPr>
                <a:t> </a:t>
              </a:r>
              <a:r>
                <a:rPr lang="es-CO" sz="12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|〖∆𝑰〗_𝒆𝒄𝒄 |</a:t>
              </a:r>
              <a:r>
                <a:rPr lang="es-CO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s-CO" sz="1400" b="1" i="0">
                  <a:latin typeface="Cambria Math" panose="02040503050406030204" pitchFamily="18" charset="0"/>
                </a:rPr>
                <a:t>𝒎𝒂𝒙</a:t>
              </a:r>
              <a:r>
                <a:rPr lang="es-CO" sz="1100" b="1" i="1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272761</xdr:colOff>
      <xdr:row>74</xdr:row>
      <xdr:rowOff>19050</xdr:rowOff>
    </xdr:from>
    <xdr:ext cx="2314575" cy="36194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00000000-0008-0000-0100-000007000000}"/>
                </a:ext>
              </a:extLst>
            </xdr:cNvPr>
            <xdr:cNvSpPr txBox="1"/>
          </xdr:nvSpPr>
          <xdr:spPr>
            <a:xfrm>
              <a:off x="2177761" y="25527000"/>
              <a:ext cx="2314575" cy="3619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𝒖</m:t>
                        </m:r>
                      </m:e>
                      <m:sup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𝟐</m:t>
                        </m:r>
                      </m:sup>
                    </m:sSup>
                    <m:d>
                      <m:d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𝑰</m:t>
                        </m:r>
                      </m:e>
                    </m:d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</m:t>
                            </m:r>
                          </m:e>
                          <m:sup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</m:num>
                      <m:den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6</m:t>
                        </m:r>
                      </m:den>
                    </m:f>
                    <m:r>
                      <a:rPr lang="es-CO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p>
                      <m:sSup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𝑠</m:t>
                        </m:r>
                      </m:e>
                      <m:sup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d>
                      <m:d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</m:e>
                    </m:d>
                    <m:r>
                      <a:rPr lang="es-CO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 </m:t>
                    </m:r>
                    <m:sSup>
                      <m:sSup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acc>
                          <m:accPr>
                            <m:chr m:val="̂"/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accPr>
                          <m:e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𝑤</m:t>
                            </m:r>
                          </m:e>
                        </m:acc>
                      </m:e>
                      <m:sup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d>
                      <m:d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𝛿</m:t>
                        </m:r>
                        <m:sSub>
                          <m:sSubPr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𝐼</m:t>
                            </m:r>
                          </m:e>
                          <m:sub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𝑒𝑐𝑐</m:t>
                            </m:r>
                          </m:sub>
                        </m:sSub>
                      </m:e>
                    </m:d>
                    <m:sSup>
                      <m:sSup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</m:e>
                      <m:sup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algn="ctr"/>
              <a:endParaRPr lang="es-CO" sz="1000" b="1"/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2177761" y="25527000"/>
              <a:ext cx="2314575" cy="3619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𝒖^𝟐 (𝑰)=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𝑑^2/6+𝑠^2 (𝐼)+ 𝑤 ̂^2 (𝛿𝐼_𝑒𝑐𝑐 ) 𝐼^2</a:t>
              </a:r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algn="ctr"/>
              <a:endParaRPr lang="es-CO" sz="1000" b="1"/>
            </a:p>
          </xdr:txBody>
        </xdr:sp>
      </mc:Fallback>
    </mc:AlternateContent>
    <xdr:clientData/>
  </xdr:oneCellAnchor>
  <xdr:oneCellAnchor>
    <xdr:from>
      <xdr:col>2</xdr:col>
      <xdr:colOff>334242</xdr:colOff>
      <xdr:row>73</xdr:row>
      <xdr:rowOff>37234</xdr:rowOff>
    </xdr:from>
    <xdr:ext cx="1962150" cy="36194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SpPr txBox="1"/>
          </xdr:nvSpPr>
          <xdr:spPr>
            <a:xfrm>
              <a:off x="2239242" y="25145134"/>
              <a:ext cx="1962150" cy="3619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𝑢</m:t>
                    </m:r>
                    <m:d>
                      <m:d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𝛿</m:t>
                        </m:r>
                        <m:sSub>
                          <m:sSubPr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𝐼</m:t>
                            </m:r>
                          </m:e>
                          <m:sub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𝑑𝑖𝑔</m:t>
                            </m:r>
                          </m:sub>
                        </m:sSub>
                      </m:e>
                    </m:d>
                    <m:r>
                      <a:rPr lang="es-ES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d>
                      <m:dPr>
                        <m:begChr m:val="⌈"/>
                        <m:endChr m:val="⌉"/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</m:t>
                            </m:r>
                          </m:num>
                          <m:den>
                            <m:r>
                              <a:rPr lang="es-ES" sz="11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  <m:rad>
                              <m:radPr>
                                <m:degHide m:val="on"/>
                                <m:ctrlP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radPr>
                              <m:deg/>
                              <m:e>
                                <m:r>
                                  <a:rPr lang="es-ES" sz="11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3</m:t>
                                </m:r>
                              </m:e>
                            </m:rad>
                          </m:den>
                        </m:f>
                      </m:e>
                    </m:d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rad>
                      <m:radPr>
                        <m:degHide m:val="on"/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radPr>
                      <m:deg/>
                      <m:e>
                        <m:r>
                          <a:rPr lang="es-ES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2 </m:t>
                        </m:r>
                      </m:e>
                    </m:rad>
                    <m:r>
                      <a:rPr lang="es-ES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𝑑</m:t>
                    </m:r>
                    <m:r>
                      <a:rPr lang="es-ES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/</m:t>
                    </m:r>
                    <m:rad>
                      <m:radPr>
                        <m:degHide m:val="on"/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radPr>
                      <m:deg/>
                      <m:e>
                        <m:r>
                          <a:rPr lang="es-ES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6</m:t>
                        </m:r>
                      </m:e>
                    </m:rad>
                  </m:oMath>
                </m:oMathPara>
              </a14:m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2239242" y="25145134"/>
              <a:ext cx="1962150" cy="3619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𝛿𝐼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𝑑𝑖𝑔 )=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⌈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𝑑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/(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⌉∗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√(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 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=𝑑/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6</a:t>
              </a:r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2</xdr:col>
      <xdr:colOff>420832</xdr:colOff>
      <xdr:row>72</xdr:row>
      <xdr:rowOff>95250</xdr:rowOff>
    </xdr:from>
    <xdr:ext cx="1304925" cy="2952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:cNvPr>
            <xdr:cNvSpPr txBox="1"/>
          </xdr:nvSpPr>
          <xdr:spPr>
            <a:xfrm>
              <a:off x="2325832" y="24803100"/>
              <a:ext cx="1304925" cy="2952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  <m:r>
                          <a:rPr lang="es-ES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𝛿</m:t>
                        </m:r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</m:e>
                      <m:sub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𝑟𝑒𝑝</m:t>
                        </m:r>
                      </m:sub>
                    </m:sSub>
                    <m:r>
                      <a:rPr lang="es-ES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)=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𝑠</m:t>
                    </m:r>
                    <m:r>
                      <a:rPr lang="es-ES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</m:e>
                      <m:sub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𝑗</m:t>
                        </m:r>
                      </m:sub>
                    </m:sSub>
                    <m:r>
                      <a:rPr lang="es-ES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)⁄</m:t>
                    </m:r>
                    <m:rad>
                      <m:radPr>
                        <m:degHide m:val="on"/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radPr>
                      <m:deg/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𝑛</m:t>
                        </m:r>
                      </m:e>
                    </m:rad>
                  </m:oMath>
                </m:oMathPara>
              </a14:m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2325832" y="24803100"/>
              <a:ext cx="1304925" cy="2952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𝑢(𝛿𝐼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𝑟𝑒𝑝)=𝑠(𝐼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𝑗)⁄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𝑛</a:t>
              </a:r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2</xdr:col>
      <xdr:colOff>367516</xdr:colOff>
      <xdr:row>79</xdr:row>
      <xdr:rowOff>91540</xdr:rowOff>
    </xdr:from>
    <xdr:ext cx="2714625" cy="2476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id="{00000000-0008-0000-0100-00000A000000}"/>
                </a:ext>
              </a:extLst>
            </xdr:cNvPr>
            <xdr:cNvSpPr txBox="1"/>
          </xdr:nvSpPr>
          <xdr:spPr>
            <a:xfrm>
              <a:off x="2463016" y="29183611"/>
              <a:ext cx="2714625" cy="2476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</m:e>
                      <m:sup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sSub>
                      <m:sSubPr>
                        <m:ctrlP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𝑟𝑒𝑓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  <m:r>
                      <a:rPr lang="es-CO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sSup>
                      <m:sSup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</m:e>
                      <m:sup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s-CO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𝛿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𝑐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  <m:r>
                      <a:rPr lang="es-CO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p>
                      <m:sSup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</m:e>
                      <m:sup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s-CO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𝛿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𝐵</m:t>
                        </m:r>
                      </m:sub>
                    </m:sSub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)+</m:t>
                    </m:r>
                    <m:sSup>
                      <m:sSup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</m:e>
                      <m:sup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s-CO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𝛿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𝐷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2463016" y="29183611"/>
              <a:ext cx="2714625" cy="2476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𝑢^2 〖(𝑚〗_𝑟𝑒𝑓)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𝑢^2 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𝛿𝑚_𝑐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+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𝑢^2 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𝛿𝑚_𝐵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)+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𝑢^2 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𝛿𝑚_𝐷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3</xdr:col>
      <xdr:colOff>77437</xdr:colOff>
      <xdr:row>76</xdr:row>
      <xdr:rowOff>65314</xdr:rowOff>
    </xdr:from>
    <xdr:ext cx="1304925" cy="2952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SpPr txBox="1"/>
          </xdr:nvSpPr>
          <xdr:spPr>
            <a:xfrm>
              <a:off x="3220687" y="27851100"/>
              <a:ext cx="1304925" cy="2952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𝑢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𝛿</m:t>
                        </m:r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𝑐</m:t>
                        </m:r>
                      </m:sub>
                    </m:sSub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)=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𝑈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/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𝐾</m:t>
                    </m:r>
                  </m:oMath>
                </m:oMathPara>
              </a14:m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1" name="CuadroTexto 10"/>
            <xdr:cNvSpPr txBox="1"/>
          </xdr:nvSpPr>
          <xdr:spPr>
            <a:xfrm>
              <a:off x="3220687" y="27851100"/>
              <a:ext cx="1304925" cy="2952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 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(𝛿𝑚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𝑐  )=𝑈/𝐾</a:t>
              </a:r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1</xdr:col>
      <xdr:colOff>129268</xdr:colOff>
      <xdr:row>98</xdr:row>
      <xdr:rowOff>81643</xdr:rowOff>
    </xdr:from>
    <xdr:ext cx="4102554" cy="2857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id="{00000000-0008-0000-0100-00000C000000}"/>
                </a:ext>
              </a:extLst>
            </xdr:cNvPr>
            <xdr:cNvSpPr txBox="1"/>
          </xdr:nvSpPr>
          <xdr:spPr>
            <a:xfrm>
              <a:off x="1177018" y="36943393"/>
              <a:ext cx="4102554" cy="2857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INVERSA</m:t>
                    </m:r>
                    <m: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.</m:t>
                    </m:r>
                    <m:r>
                      <m:rPr>
                        <m:sty m:val="p"/>
                      </m:rP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T</m:t>
                    </m:r>
                    <m: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m:rPr>
                        <m:sty m:val="p"/>
                      </m:rP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STUDEND</m:t>
                    </m:r>
                    <m: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.2</m:t>
                    </m:r>
                    <m:r>
                      <m:rPr>
                        <m:sty m:val="p"/>
                      </m:rP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C</m:t>
                    </m:r>
                    <m: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(100</m:t>
                    </m:r>
                    <m:r>
                      <a:rPr lang="es-CO" sz="14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%−95,45%  ;</m:t>
                    </m:r>
                    <m:sSub>
                      <m:sSubPr>
                        <m:ctrlPr>
                          <a:rPr lang="es-CO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  <m:r>
                          <a:rPr lang="es-CO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CO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𝐸</m:t>
                        </m:r>
                        <m:r>
                          <a:rPr lang="es-CO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CO" sz="12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2" name="CuadroTexto 11"/>
            <xdr:cNvSpPr txBox="1"/>
          </xdr:nvSpPr>
          <xdr:spPr>
            <a:xfrm>
              <a:off x="1177018" y="36943393"/>
              <a:ext cx="4102554" cy="2857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INVERSA.T STUDEND.2C(100%−95,45%  ;</a:t>
              </a:r>
              <a:r>
                <a:rPr lang="es-CO" sz="14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𝑣_(𝑒𝑓𝑓(𝐸))</a:t>
              </a:r>
              <a:endParaRPr lang="es-CO" sz="12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2</xdr:col>
      <xdr:colOff>860096</xdr:colOff>
      <xdr:row>77</xdr:row>
      <xdr:rowOff>39832</xdr:rowOff>
    </xdr:from>
    <xdr:ext cx="2238374" cy="3238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id="{00000000-0008-0000-0100-00000D000000}"/>
                </a:ext>
              </a:extLst>
            </xdr:cNvPr>
            <xdr:cNvSpPr txBox="1"/>
          </xdr:nvSpPr>
          <xdr:spPr>
            <a:xfrm>
              <a:off x="2955596" y="28261046"/>
              <a:ext cx="2238374" cy="3238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𝑢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d>
                      <m:d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𝛿</m:t>
                            </m:r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</m:t>
                            </m:r>
                          </m:e>
                          <m:sub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𝐵</m:t>
                            </m:r>
                          </m:sub>
                        </m:sSub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</m:e>
                    </m:d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𝐸𝑀𝑃</m:t>
                        </m:r>
                      </m:num>
                      <m:den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4</m:t>
                        </m:r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∗</m:t>
                        </m:r>
                        <m:rad>
                          <m:radPr>
                            <m:degHide m:val="on"/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radPr>
                          <m:deg/>
                          <m:e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3</m:t>
                            </m:r>
                          </m:e>
                        </m:rad>
                      </m:den>
                    </m:f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</m:t>
                        </m:r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𝑈</m:t>
                        </m:r>
                      </m:num>
                      <m:den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4∗</m:t>
                        </m:r>
                        <m:rad>
                          <m:radPr>
                            <m:degHide m:val="on"/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radPr>
                          <m:deg/>
                          <m:e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3</m:t>
                            </m:r>
                          </m:e>
                        </m:rad>
                      </m:den>
                    </m:f>
                  </m:oMath>
                </m:oMathPara>
              </a14:m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3" name="CuadroTexto 12"/>
            <xdr:cNvSpPr txBox="1"/>
          </xdr:nvSpPr>
          <xdr:spPr>
            <a:xfrm>
              <a:off x="2955596" y="28261046"/>
              <a:ext cx="2238374" cy="3238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  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(〖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𝛿𝑚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𝐵  )=𝐸𝑀𝑃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/(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4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∗√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𝑈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/(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4∗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3</xdr:col>
      <xdr:colOff>70509</xdr:colOff>
      <xdr:row>78</xdr:row>
      <xdr:rowOff>56655</xdr:rowOff>
    </xdr:from>
    <xdr:ext cx="1866900" cy="3333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>
              <a:extLst>
                <a:ext uri="{FF2B5EF4-FFF2-40B4-BE49-F238E27FC236}">
                  <a16:creationId xmlns:a16="http://schemas.microsoft.com/office/drawing/2014/main" id="{00000000-0008-0000-0100-00000E000000}"/>
                </a:ext>
              </a:extLst>
            </xdr:cNvPr>
            <xdr:cNvSpPr txBox="1"/>
          </xdr:nvSpPr>
          <xdr:spPr>
            <a:xfrm>
              <a:off x="3213759" y="28713298"/>
              <a:ext cx="1866900" cy="3333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𝑢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d>
                      <m:d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𝛿</m:t>
                            </m:r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</m:t>
                            </m:r>
                          </m:e>
                          <m:sub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𝐷</m:t>
                            </m:r>
                          </m:sub>
                        </m:sSub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</m:e>
                    </m:d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𝐸𝑀𝑃</m:t>
                        </m:r>
                      </m:num>
                      <m:den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</m:t>
                        </m:r>
                      </m:den>
                    </m:f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rad>
                      <m:radPr>
                        <m:degHide m:val="on"/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radPr>
                      <m:deg/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</m:t>
                        </m:r>
                      </m:e>
                    </m:rad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𝑈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/</m:t>
                    </m:r>
                    <m:rad>
                      <m:radPr>
                        <m:degHide m:val="on"/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radPr>
                      <m:deg/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</m:t>
                        </m:r>
                      </m:e>
                    </m:rad>
                  </m:oMath>
                </m:oMathPara>
              </a14:m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4" name="CuadroTexto 13"/>
            <xdr:cNvSpPr txBox="1"/>
          </xdr:nvSpPr>
          <xdr:spPr>
            <a:xfrm>
              <a:off x="3213759" y="28713298"/>
              <a:ext cx="1866900" cy="3333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  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(〖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𝛿𝑚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𝐷  )=𝐸𝑀𝑃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3∗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3=𝑈/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2</xdr:col>
      <xdr:colOff>758611</xdr:colOff>
      <xdr:row>81</xdr:row>
      <xdr:rowOff>85725</xdr:rowOff>
    </xdr:from>
    <xdr:ext cx="1851239" cy="2381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>
              <a:extLst>
                <a:ext uri="{FF2B5EF4-FFF2-40B4-BE49-F238E27FC236}">
                  <a16:creationId xmlns:a16="http://schemas.microsoft.com/office/drawing/2014/main" id="{00000000-0008-0000-0100-00000F000000}"/>
                </a:ext>
              </a:extLst>
            </xdr:cNvPr>
            <xdr:cNvSpPr txBox="1"/>
          </xdr:nvSpPr>
          <xdr:spPr>
            <a:xfrm>
              <a:off x="2854111" y="30241875"/>
              <a:ext cx="1851239" cy="2381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</m:e>
                      <m:sup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r>
                      <a:rPr lang="es-CO" sz="1100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s-CO" sz="1100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𝐸</m:t>
                    </m:r>
                    <m:r>
                      <a:rPr lang="es-CO" sz="1100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)=</m:t>
                    </m:r>
                    <m:sSup>
                      <m:sSupPr>
                        <m:ctrlP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</m:e>
                      <m:sup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d>
                      <m:dPr>
                        <m:ctrlP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</m:e>
                    </m:d>
                    <m:r>
                      <a:rPr lang="es-CO" sz="1100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 </m:t>
                    </m:r>
                    <m:sSup>
                      <m:sSupPr>
                        <m:ctrlP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</m:e>
                      <m:sup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d>
                      <m:dPr>
                        <m:ctrlP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</m:t>
                            </m:r>
                          </m:e>
                          <m:sub>
                            <m: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𝑟𝑒𝑓</m:t>
                            </m:r>
                          </m:sub>
                        </m:sSub>
                      </m:e>
                    </m:d>
                  </m:oMath>
                </m:oMathPara>
              </a14:m>
              <a:endParaRPr lang="es-CO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s-CO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5" name="CuadroTexto 14"/>
            <xdr:cNvSpPr txBox="1"/>
          </xdr:nvSpPr>
          <xdr:spPr>
            <a:xfrm>
              <a:off x="2854111" y="30241875"/>
              <a:ext cx="1851239" cy="2381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𝑢^2 (𝐸)=𝑢^2 (𝐼)+ 𝑢^2 (𝑚_𝑟𝑒𝑓 )</a:t>
              </a:r>
              <a:endParaRPr lang="es-CO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s-CO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2</xdr:col>
      <xdr:colOff>693570</xdr:colOff>
      <xdr:row>94</xdr:row>
      <xdr:rowOff>407242</xdr:rowOff>
    </xdr:from>
    <xdr:ext cx="1399595" cy="67064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CuadroTexto 15">
              <a:extLst>
                <a:ext uri="{FF2B5EF4-FFF2-40B4-BE49-F238E27FC236}">
                  <a16:creationId xmlns:a16="http://schemas.microsoft.com/office/drawing/2014/main" id="{00000000-0008-0000-0100-000010000000}"/>
                </a:ext>
              </a:extLst>
            </xdr:cNvPr>
            <xdr:cNvSpPr txBox="1"/>
          </xdr:nvSpPr>
          <xdr:spPr>
            <a:xfrm>
              <a:off x="2789070" y="36449842"/>
              <a:ext cx="1399595" cy="6706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𝐸</m:t>
                        </m:r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sub>
                    </m:sSub>
                    <m:r>
                      <a:rPr lang="es-CO" sz="1100" b="0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f>
                      <m:fPr>
                        <m:ctrlP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Sup>
                          <m:sSubSupPr>
                            <m:ctrlP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𝑢</m:t>
                            </m:r>
                          </m:e>
                          <m:sub>
                            <m: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𝐸</m:t>
                            </m:r>
                          </m:sub>
                          <m:sup>
                            <m: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4</m:t>
                            </m:r>
                          </m:sup>
                        </m:sSubSup>
                      </m:num>
                      <m:den>
                        <m:f>
                          <m:fPr>
                            <m:ctrlP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bSup>
                              <m:sSubSupPr>
                                <m:ctrlP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SupPr>
                              <m:e>
                                <m: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𝑢</m:t>
                                </m:r>
                              </m:e>
                              <m:sub>
                                <m: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𝐼</m:t>
                                </m:r>
                              </m:sub>
                              <m:sup>
                                <m: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sup>
                            </m:sSubSup>
                          </m:num>
                          <m:den>
                            <m:sSub>
                              <m:sSubPr>
                                <m:ctrlP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𝑣</m:t>
                                </m:r>
                              </m:e>
                              <m:sub>
                                <m:sSub>
                                  <m:sSubPr>
                                    <m:ctrlP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e>
                                  <m:sub>
                                    <m: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sub>
                                </m:sSub>
                              </m:sub>
                            </m:sSub>
                          </m:den>
                        </m:f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f>
                          <m:fPr>
                            <m:ctrlP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bSup>
                              <m:sSubSupPr>
                                <m:ctrlP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SupPr>
                              <m:e>
                                <m: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𝑢</m:t>
                                </m:r>
                              </m:e>
                              <m:sub>
                                <m:sSub>
                                  <m:sSubPr>
                                    <m:ctrlP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𝑚</m:t>
                                    </m:r>
                                  </m:e>
                                  <m:sub>
                                    <m: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𝑟𝑒𝑓</m:t>
                                    </m:r>
                                  </m:sub>
                                </m:sSub>
                              </m:sub>
                              <m:sup>
                                <m: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sup>
                            </m:sSubSup>
                          </m:num>
                          <m:den>
                            <m:sSub>
                              <m:sSubPr>
                                <m:ctrlP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𝑣</m:t>
                                </m:r>
                              </m:e>
                              <m:sub>
                                <m:sSub>
                                  <m:sSubPr>
                                    <m:ctrlP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e>
                                  <m:sub>
                                    <m:sSub>
                                      <m:sSubPr>
                                        <m:ctrlPr>
                                          <a:rPr lang="es-CO" sz="1100" i="1">
                                            <a:solidFill>
                                              <a:sysClr val="windowText" lastClr="000000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s-CO" sz="1100" i="1">
                                            <a:solidFill>
                                              <a:sysClr val="windowText" lastClr="000000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𝑚</m:t>
                                        </m:r>
                                      </m:e>
                                      <m:sub>
                                        <m:r>
                                          <a:rPr lang="es-CO" sz="1100" i="1">
                                            <a:solidFill>
                                              <a:sysClr val="windowText" lastClr="000000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𝑟𝑒𝑓</m:t>
                                        </m:r>
                                      </m:sub>
                                    </m:sSub>
                                  </m:sub>
                                </m:sSub>
                              </m:sub>
                            </m:sSub>
                          </m:den>
                        </m:f>
                      </m:den>
                    </m:f>
                  </m:oMath>
                </m:oMathPara>
              </a14:m>
              <a:endParaRPr lang="es-CO" sz="14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6" name="CuadroTexto 15"/>
            <xdr:cNvSpPr txBox="1"/>
          </xdr:nvSpPr>
          <xdr:spPr>
            <a:xfrm>
              <a:off x="2789070" y="36449842"/>
              <a:ext cx="1399595" cy="6706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𝑣_(𝑒𝑓𝑓(𝐸))</a:t>
              </a:r>
              <a:r>
                <a:rPr lang="es-CO" sz="1100" b="0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 </a:t>
              </a:r>
              <a:r>
                <a:rPr lang="es-CO" sz="1100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(𝑢_𝐸^4)/((𝑢_𝐼^4)/𝑣_(𝑖_𝐼 ) +(𝑢_(𝑚_𝑟𝑒𝑓)^4)/𝑣_(𝑖_(𝑚_𝑟𝑒𝑓 ) ) )</a:t>
              </a:r>
              <a:endParaRPr lang="es-CO" sz="14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1</xdr:col>
      <xdr:colOff>611241</xdr:colOff>
      <xdr:row>92</xdr:row>
      <xdr:rowOff>425708</xdr:rowOff>
    </xdr:from>
    <xdr:ext cx="3444551" cy="62981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 txBox="1"/>
          </xdr:nvSpPr>
          <xdr:spPr>
            <a:xfrm>
              <a:off x="1658991" y="34987851"/>
              <a:ext cx="3444551" cy="6298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sSub>
                      <m:sSubPr>
                        <m:ctrlPr>
                          <a:rPr lang="es-CO" sz="16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6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CO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𝑟𝑒𝑓</m:t>
                        </m:r>
                      </m:sub>
                    </m:sSub>
                    <m:r>
                      <a:rPr lang="es-CO" sz="16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  <m:r>
                      <a:rPr lang="es-CO" sz="105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sSub>
                              <m:sSubPr>
                                <m:ctrlPr>
                                  <a:rPr lang="es-CO" sz="16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𝑚</m:t>
                                </m:r>
                              </m:e>
                              <m:sub>
                                <m:r>
                                  <a:rPr lang="es-CO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𝑟𝑒𝑓</m:t>
                                </m:r>
                              </m:sub>
                            </m:sSub>
                          </m:e>
                          <m:sup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4</m:t>
                            </m:r>
                          </m:sup>
                        </m:sSup>
                      </m:num>
                      <m:den>
                        <m:sSup>
                          <m:sSup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f>
                              <m:fPr>
                                <m:ctrlPr>
                                  <a:rPr lang="es-CO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s-CO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𝑢</m:t>
                                    </m:r>
                                    <m:r>
                                      <a:rPr lang="es-ES" sz="105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(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𝛿</m:t>
                                    </m:r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𝑚</m:t>
                                    </m:r>
                                  </m:e>
                                  <m:sub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𝐶</m:t>
                                    </m:r>
                                  </m:sub>
                                </m:sSub>
                                <m:r>
                                  <a:rPr lang="es-ES" sz="105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num>
                              <m:den>
                                <m:sSub>
                                  <m:sSubPr>
                                    <m:ctrlPr>
                                      <a:rPr lang="es-CO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𝑣</m:t>
                                    </m:r>
                                  </m:e>
                                  <m:sub>
                                    <m:r>
                                      <a:rPr lang="es-CO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𝑒𝑓𝑓</m:t>
                                    </m:r>
                                  </m:sub>
                                </m:sSub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(</m:t>
                                </m:r>
                                <m:sSub>
                                  <m:sSubPr>
                                    <m:ctrlPr>
                                      <a:rPr lang="es-CO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𝑚</m:t>
                                    </m:r>
                                  </m:e>
                                  <m:sub>
                                    <m:r>
                                      <a:rPr lang="es-CO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𝑐</m:t>
                                    </m:r>
                                  </m:sub>
                                </m:sSub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den>
                            </m:f>
                          </m:e>
                          <m:sup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4</m:t>
                            </m:r>
                          </m:sup>
                        </m:sSup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 </m:t>
                        </m:r>
                        <m:f>
                          <m:fPr>
                            <m:ctrlP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sSub>
                                  <m:sSubPr>
                                    <m:ctrlPr>
                                      <a:rPr lang="es-CO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𝑢</m:t>
                                    </m:r>
                                    <m:r>
                                      <a:rPr lang="es-ES" sz="105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(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𝛿</m:t>
                                    </m:r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𝑚</m:t>
                                    </m:r>
                                  </m:e>
                                  <m:sub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𝐵</m:t>
                                    </m:r>
                                  </m:sub>
                                </m:sSub>
                                <m:r>
                                  <a:rPr lang="es-ES" sz="105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e>
                              <m:sup>
                                <m: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sup>
                            </m:sSup>
                          </m:num>
                          <m:den>
                            <m:sSub>
                              <m:sSubPr>
                                <m:ctrlP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𝑣</m:t>
                                </m:r>
                              </m:e>
                              <m:sub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𝑒𝑓𝑓</m:t>
                                </m:r>
                              </m:sub>
                            </m:sSub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(</m:t>
                            </m:r>
                            <m:sSub>
                              <m:sSubPr>
                                <m:ctrlP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𝑚</m:t>
                                </m:r>
                              </m:e>
                              <m:sub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𝐵</m:t>
                                </m:r>
                              </m:sub>
                            </m:sSub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)</m:t>
                            </m:r>
                          </m:den>
                        </m:f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 </m:t>
                        </m:r>
                        <m:f>
                          <m:fPr>
                            <m:ctrlP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sSub>
                                  <m:sSubPr>
                                    <m:ctrlPr>
                                      <a:rPr lang="es-CO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𝑢</m:t>
                                    </m:r>
                                    <m:r>
                                      <a:rPr lang="es-ES" sz="105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(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𝛿</m:t>
                                    </m:r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𝑚</m:t>
                                    </m:r>
                                  </m:e>
                                  <m:sub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𝐷</m:t>
                                    </m:r>
                                  </m:sub>
                                </m:sSub>
                                <m:r>
                                  <a:rPr lang="es-ES" sz="105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e>
                              <m:sup>
                                <m: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sup>
                            </m:sSup>
                          </m:num>
                          <m:den>
                            <m:sSub>
                              <m:sSubPr>
                                <m:ctrlP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𝑣</m:t>
                                </m:r>
                              </m:e>
                              <m:sub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𝑒𝑓𝑓</m:t>
                                </m:r>
                              </m:sub>
                            </m:sSub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(</m:t>
                            </m:r>
                            <m:sSub>
                              <m:sSubPr>
                                <m:ctrlP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𝑚</m:t>
                                </m:r>
                              </m:e>
                              <m:sub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𝐷</m:t>
                                </m:r>
                              </m:sub>
                            </m:sSub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)</m:t>
                            </m:r>
                          </m:den>
                        </m:f>
                      </m:den>
                    </m:f>
                  </m:oMath>
                </m:oMathPara>
              </a14:m>
              <a:endParaRPr lang="es-CO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7" name="CuadroTexto 16"/>
            <xdr:cNvSpPr txBox="1"/>
          </xdr:nvSpPr>
          <xdr:spPr>
            <a:xfrm>
              <a:off x="1658991" y="34987851"/>
              <a:ext cx="3444551" cy="6298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6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〖</a:t>
              </a:r>
              <a:r>
                <a:rPr lang="es-ES" sz="16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s-CO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𝑚〗_𝑟𝑒𝑓)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=〖</a:t>
              </a:r>
              <a:r>
                <a:rPr lang="es-CO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𝑚_𝑟𝑒𝑓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〗^4/(〖(〖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𝑚〗_𝐶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(𝑚_𝑐)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)〗^4+ 〖〖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𝑚〗_𝐵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〗^4/(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(𝑚_𝐵)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)+ 〖〖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𝑚〗_𝐷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〗^4/(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(𝑚_𝐷)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))</a:t>
              </a:r>
              <a:endParaRPr lang="es-CO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1</xdr:col>
      <xdr:colOff>952889</xdr:colOff>
      <xdr:row>88</xdr:row>
      <xdr:rowOff>57150</xdr:rowOff>
    </xdr:from>
    <xdr:ext cx="2819400" cy="552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>
              <a:extLst>
                <a:ext uri="{FF2B5EF4-FFF2-40B4-BE49-F238E27FC236}">
                  <a16:creationId xmlns:a16="http://schemas.microsoft.com/office/drawing/2014/main" id="{00000000-0008-0000-0100-000012000000}"/>
                </a:ext>
              </a:extLst>
            </xdr:cNvPr>
            <xdr:cNvSpPr txBox="1"/>
          </xdr:nvSpPr>
          <xdr:spPr>
            <a:xfrm>
              <a:off x="2000639" y="32966025"/>
              <a:ext cx="2819400" cy="552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r>
                      <a:rPr lang="es-CO" sz="105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s-CO" sz="105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𝐼</m:t>
                    </m:r>
                    <m:r>
                      <a:rPr lang="es-CO" sz="105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)=</m:t>
                    </m:r>
                    <m:f>
                      <m:fPr>
                        <m:ctrlP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𝑢</m:t>
                            </m:r>
                          </m:e>
                          <m:sup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4</m:t>
                            </m:r>
                          </m:sup>
                        </m:sSup>
                        <m: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  <m: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num>
                      <m:den>
                        <m:sSup>
                          <m:sSup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f>
                              <m:fPr>
                                <m:ctrlPr>
                                  <a:rPr lang="es-CO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s-CO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𝑢</m:t>
                                    </m:r>
                                    <m:r>
                                      <a:rPr lang="es-ES" sz="105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(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𝛿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  <m:sub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𝑒</m:t>
                                    </m:r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𝑐𝑐</m:t>
                                    </m:r>
                                  </m:sub>
                                </m:sSub>
                                <m:r>
                                  <a:rPr lang="es-ES" sz="105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num>
                              <m:den>
                                <m:sSub>
                                  <m:sSubPr>
                                    <m:ctrlPr>
                                      <a:rPr lang="es-CO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𝑣</m:t>
                                    </m:r>
                                  </m:e>
                                  <m:sub>
                                    <m:r>
                                      <a:rPr lang="es-CO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𝑒𝑓𝑓</m:t>
                                    </m:r>
                                  </m:sub>
                                </m:sSub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(</m:t>
                                </m:r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𝑒𝑐𝑐</m:t>
                                </m:r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den>
                            </m:f>
                          </m:e>
                          <m:sup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4</m:t>
                            </m:r>
                          </m:sup>
                        </m:sSup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 </m:t>
                        </m:r>
                        <m:f>
                          <m:fPr>
                            <m:ctrlP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sSub>
                                  <m:sSubPr>
                                    <m:ctrlPr>
                                      <a:rPr lang="es-CO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𝑢</m:t>
                                    </m:r>
                                    <m:r>
                                      <a:rPr lang="es-ES" sz="105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(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𝛿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  <m:sub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𝑟𝑒𝑝</m:t>
                                    </m:r>
                                  </m:sub>
                                </m:sSub>
                                <m:r>
                                  <a:rPr lang="es-ES" sz="105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e>
                              <m:sup>
                                <m: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sup>
                            </m:sSup>
                          </m:num>
                          <m:den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𝑛</m:t>
                            </m:r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−1</m:t>
                            </m:r>
                          </m:den>
                        </m:f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 </m:t>
                        </m:r>
                        <m:f>
                          <m:fPr>
                            <m:ctrlP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sSub>
                                  <m:sSubPr>
                                    <m:ctrlPr>
                                      <a:rPr lang="es-CO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𝑢</m:t>
                                    </m:r>
                                    <m:r>
                                      <a:rPr lang="es-ES" sz="105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(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𝛿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  <m:sub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𝑑𝑖𝑔</m:t>
                                    </m:r>
                                  </m:sub>
                                </m:sSub>
                                <m:r>
                                  <a:rPr lang="es-ES" sz="105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e>
                              <m:sup>
                                <m: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sup>
                            </m:sSup>
                          </m:num>
                          <m:den>
                            <m:sSub>
                              <m:sSubPr>
                                <m:ctrlP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𝑣</m:t>
                                </m:r>
                              </m:e>
                              <m:sub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𝑒𝑓𝑓</m:t>
                                </m:r>
                              </m:sub>
                            </m:sSub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(</m:t>
                            </m:r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𝑑𝑖𝑔</m:t>
                            </m:r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)</m:t>
                            </m:r>
                          </m:den>
                        </m:f>
                      </m:den>
                    </m:f>
                  </m:oMath>
                </m:oMathPara>
              </a14:m>
              <a:endParaRPr lang="es-CO" sz="14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8" name="CuadroTexto 17"/>
            <xdr:cNvSpPr txBox="1"/>
          </xdr:nvSpPr>
          <xdr:spPr>
            <a:xfrm>
              <a:off x="2000639" y="32966025"/>
              <a:ext cx="2819400" cy="552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(𝐼)=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𝑢^4 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𝐼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))/(〖(〖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𝑢(𝛿𝐼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𝑒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𝑐𝑐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(𝑒𝑐𝑐)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)〗^4+ 〖〖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𝑢(𝛿𝐼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𝑟𝑒𝑝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〗^4/(𝑛 −1)+ 〖〖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𝑢(𝛿𝐼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𝑑𝑖𝑔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〗^4/(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(𝑑𝑖𝑔)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))</a:t>
              </a:r>
              <a:endParaRPr lang="es-CO" sz="14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3</xdr:col>
      <xdr:colOff>820371</xdr:colOff>
      <xdr:row>102</xdr:row>
      <xdr:rowOff>76200</xdr:rowOff>
    </xdr:from>
    <xdr:ext cx="1198929" cy="30100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>
              <a:extLst>
                <a:ext uri="{FF2B5EF4-FFF2-40B4-BE49-F238E27FC236}">
                  <a16:creationId xmlns:a16="http://schemas.microsoft.com/office/drawing/2014/main" id="{00000000-0008-0000-0100-000013000000}"/>
                </a:ext>
              </a:extLst>
            </xdr:cNvPr>
            <xdr:cNvSpPr txBox="1"/>
          </xdr:nvSpPr>
          <xdr:spPr>
            <a:xfrm>
              <a:off x="3963621" y="38119050"/>
              <a:ext cx="1198929" cy="3010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 xmlns:m="http://schemas.openxmlformats.org/officeDocument/2006/math"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𝑈</m:t>
                  </m:r>
                  <m:r>
                    <a:rPr lang="es-CO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(</m:t>
                  </m:r>
                  <m:r>
                    <a:rPr lang="es-CO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𝐸</m:t>
                  </m:r>
                  <m:r>
                    <a:rPr lang="es-CO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)</m:t>
                  </m:r>
                </m:oMath>
              </a14:m>
              <a:r>
                <a:rPr lang="es-CO" sz="110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14:m>
                <m:oMath xmlns:m="http://schemas.openxmlformats.org/officeDocument/2006/math"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 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𝑢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(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𝐸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)∗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𝑘</m:t>
                  </m:r>
                </m:oMath>
              </a14:m>
              <a:endParaRPr lang="es-CO" sz="11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9" name="CuadroTexto 18"/>
            <xdr:cNvSpPr txBox="1"/>
          </xdr:nvSpPr>
          <xdr:spPr>
            <a:xfrm>
              <a:off x="3963621" y="38119050"/>
              <a:ext cx="1198929" cy="3010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ES" sz="110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𝑈</a:t>
              </a:r>
              <a:r>
                <a:rPr lang="es-CO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(𝐸)</a:t>
              </a:r>
              <a:r>
                <a:rPr lang="es-CO" sz="110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s-ES" sz="110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 𝑢(𝐸)∗𝑘</a:t>
              </a:r>
              <a:endParaRPr lang="es-CO" sz="11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4</xdr:col>
      <xdr:colOff>63743</xdr:colOff>
      <xdr:row>107</xdr:row>
      <xdr:rowOff>0</xdr:rowOff>
    </xdr:from>
    <xdr:ext cx="1717432" cy="34363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>
              <a:extLst>
                <a:ext uri="{FF2B5EF4-FFF2-40B4-BE49-F238E27FC236}">
                  <a16:creationId xmlns:a16="http://schemas.microsoft.com/office/drawing/2014/main" id="{00000000-0008-0000-0100-000014000000}"/>
                </a:ext>
              </a:extLst>
            </xdr:cNvPr>
            <xdr:cNvSpPr txBox="1"/>
          </xdr:nvSpPr>
          <xdr:spPr>
            <a:xfrm>
              <a:off x="4492868" y="42214800"/>
              <a:ext cx="1717432" cy="34363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lang="es-CO" sz="105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sSup>
                          <m:sSup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𝑢</m:t>
                            </m:r>
                          </m:e>
                          <m:sup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𝑑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𝑦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𝑠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  <m:r>
                          <m:rPr>
                            <m:nor/>
                          </m:rPr>
                          <a:rPr lang="es-CO" sz="105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) + </m:t>
                        </m:r>
                        <m:r>
                          <m:rPr>
                            <m:nor/>
                          </m:rPr>
                          <a:rPr lang="es-CO" sz="105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u</m:t>
                        </m:r>
                        <m:r>
                          <m:rPr>
                            <m:nor/>
                          </m:rPr>
                          <a:rPr lang="es-CO" sz="105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2(</m:t>
                        </m:r>
                        <m:r>
                          <m:rPr>
                            <m:nor/>
                          </m:rPr>
                          <a:rPr lang="es-CO" sz="105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Eappr</m:t>
                        </m:r>
                        <m:r>
                          <m:rPr>
                            <m:nor/>
                          </m:rPr>
                          <a:rPr lang="es-CO" sz="1050" b="0" i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)</m:t>
                        </m:r>
                        <m:r>
                          <m:rPr>
                            <m:nor/>
                          </m:rPr>
                          <a:rPr lang="es-CO" sz="105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CO" sz="1050">
                            <a:effectLst/>
                          </a:rPr>
                          <m:t> </m:t>
                        </m:r>
                      </m:e>
                    </m:rad>
                  </m:oMath>
                </m:oMathPara>
              </a14:m>
              <a:endParaRPr lang="es-CO" sz="1050"/>
            </a:p>
          </xdr:txBody>
        </xdr:sp>
      </mc:Choice>
      <mc:Fallback xmlns="">
        <xdr:sp macro="" textlink="">
          <xdr:nvSpPr>
            <xdr:cNvPr id="20" name="CuadroTexto 19"/>
            <xdr:cNvSpPr txBox="1"/>
          </xdr:nvSpPr>
          <xdr:spPr>
            <a:xfrm>
              <a:off x="4492868" y="42214800"/>
              <a:ext cx="1717432" cy="34363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050" i="0">
                  <a:latin typeface="Cambria Math" panose="02040503050406030204" pitchFamily="18" charset="0"/>
                </a:rPr>
                <a:t>√(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𝑢^2 (𝑅(𝑑 𝑦 𝑠)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 + u2(Eappr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s-CO" sz="1050" i="0">
                  <a:effectLst/>
                </a:rPr>
                <a:t> </a:t>
              </a:r>
              <a:r>
                <a:rPr lang="es-CO" sz="1050" i="0">
                  <a:effectLst/>
                  <a:latin typeface="Cambria Math" panose="02040503050406030204" pitchFamily="18" charset="0"/>
                </a:rPr>
                <a:t>" )</a:t>
              </a:r>
              <a:endParaRPr lang="es-CO" sz="1050"/>
            </a:p>
          </xdr:txBody>
        </xdr:sp>
      </mc:Fallback>
    </mc:AlternateContent>
    <xdr:clientData/>
  </xdr:oneCellAnchor>
  <xdr:oneCellAnchor>
    <xdr:from>
      <xdr:col>0</xdr:col>
      <xdr:colOff>206953</xdr:colOff>
      <xdr:row>106</xdr:row>
      <xdr:rowOff>396585</xdr:rowOff>
    </xdr:from>
    <xdr:ext cx="561109" cy="3961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CuadroTexto 20">
              <a:extLst>
                <a:ext uri="{FF2B5EF4-FFF2-40B4-BE49-F238E27FC236}">
                  <a16:creationId xmlns:a16="http://schemas.microsoft.com/office/drawing/2014/main" id="{00000000-0008-0000-0100-000015000000}"/>
                </a:ext>
              </a:extLst>
            </xdr:cNvPr>
            <xdr:cNvSpPr txBox="1"/>
          </xdr:nvSpPr>
          <xdr:spPr>
            <a:xfrm>
              <a:off x="1092778" y="42211335"/>
              <a:ext cx="561109" cy="3961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f>
                          <m:fPr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num>
                          <m:den>
                            <m:sSup>
                              <m:sSupPr>
                                <m:ctrlP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𝑢</m:t>
                                </m:r>
                              </m:e>
                              <m:sup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p>
                            </m:sSup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(</m:t>
                            </m:r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𝐸</m:t>
                            </m:r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)</m:t>
                            </m:r>
                          </m:den>
                        </m:f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e>
                      <m:sup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1" name="CuadroTexto 20"/>
            <xdr:cNvSpPr txBox="1"/>
          </xdr:nvSpPr>
          <xdr:spPr>
            <a:xfrm>
              <a:off x="1092778" y="42211335"/>
              <a:ext cx="561109" cy="3961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100" i="0">
                  <a:latin typeface="Cambria Math" panose="02040503050406030204" pitchFamily="18" charset="0"/>
                </a:rPr>
                <a:t>〖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(1/(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𝑢^2 (𝐸))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)〗^</a:t>
              </a:r>
              <a:r>
                <a:rPr lang="es-CO" sz="1100" b="0" i="0">
                  <a:latin typeface="Cambria Math" panose="02040503050406030204" pitchFamily="18" charset="0"/>
                </a:rPr>
                <a:t>2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179242</xdr:colOff>
      <xdr:row>107</xdr:row>
      <xdr:rowOff>92652</xdr:rowOff>
    </xdr:from>
    <xdr:ext cx="609911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>
              <a:extLst>
                <a:ext uri="{FF2B5EF4-FFF2-40B4-BE49-F238E27FC236}">
                  <a16:creationId xmlns:a16="http://schemas.microsoft.com/office/drawing/2014/main" id="{00000000-0008-0000-0100-000016000000}"/>
                </a:ext>
              </a:extLst>
            </xdr:cNvPr>
            <xdr:cNvSpPr txBox="1"/>
          </xdr:nvSpPr>
          <xdr:spPr>
            <a:xfrm>
              <a:off x="1950892" y="42307452"/>
              <a:ext cx="609911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i="1">
                  <a:latin typeface="Times New Roman" panose="02020603050405020304" pitchFamily="18" charset="0"/>
                  <a:cs typeface="Times New Roman" panose="02020603050405020304" pitchFamily="18" charset="0"/>
                </a:rPr>
                <a:t>p * 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s-CO" sz="1100" i="1">
                          <a:latin typeface="Cambria Math" panose="02040503050406030204" pitchFamily="18" charset="0"/>
                        </a:rPr>
                      </m:ctrlPr>
                    </m:accPr>
                    <m:e>
                      <m:r>
                        <a:rPr lang="es-CO" sz="1100" b="0" i="1">
                          <a:latin typeface="Cambria Math" panose="02040503050406030204" pitchFamily="18" charset="0"/>
                        </a:rPr>
                        <m:t>𝐼</m:t>
                      </m:r>
                    </m:e>
                  </m:acc>
                </m:oMath>
              </a14:m>
              <a:r>
                <a:rPr lang="es-CO" sz="1100" i="1">
                  <a:latin typeface="Times New Roman" panose="02020603050405020304" pitchFamily="18" charset="0"/>
                  <a:cs typeface="Times New Roman" panose="02020603050405020304" pitchFamily="18" charset="0"/>
                </a:rPr>
                <a:t>  * </a:t>
              </a:r>
              <a14:m>
                <m:oMath xmlns:m="http://schemas.openxmlformats.org/officeDocument/2006/math">
                  <m:sSub>
                    <m:sSubPr>
                      <m:ctrlPr>
                        <a:rPr lang="es-CO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𝐸</m:t>
                      </m:r>
                    </m:e>
                    <m:sub>
                      <m:acc>
                        <m:accPr>
                          <m:chr m:val="̅"/>
                          <m:ctrlPr>
                            <a:rPr lang="es-CO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accPr>
                        <m:e>
                          <m:r>
                            <a:rPr lang="es-CO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𝐼</m:t>
                          </m:r>
                        </m:e>
                      </m:acc>
                    </m:sub>
                  </m:sSub>
                  <m:r>
                    <a:rPr lang="es-CO" sz="1100" i="1">
                      <a:latin typeface="Cambria Math" panose="02040503050406030204" pitchFamily="18" charset="0"/>
                    </a:rPr>
                    <m:t> </m:t>
                  </m:r>
                </m:oMath>
              </a14:m>
              <a:endParaRPr lang="es-CO" sz="1100"/>
            </a:p>
          </xdr:txBody>
        </xdr:sp>
      </mc:Choice>
      <mc:Fallback xmlns="">
        <xdr:sp macro="" textlink="">
          <xdr:nvSpPr>
            <xdr:cNvPr id="22" name="CuadroTexto 21"/>
            <xdr:cNvSpPr txBox="1"/>
          </xdr:nvSpPr>
          <xdr:spPr>
            <a:xfrm>
              <a:off x="1950892" y="42307452"/>
              <a:ext cx="609911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i="1">
                  <a:latin typeface="Times New Roman" panose="02020603050405020304" pitchFamily="18" charset="0"/>
                  <a:cs typeface="Times New Roman" panose="02020603050405020304" pitchFamily="18" charset="0"/>
                </a:rPr>
                <a:t>p * </a:t>
              </a:r>
              <a:r>
                <a:rPr lang="es-CO" sz="1100" b="0" i="0">
                  <a:latin typeface="Cambria Math" panose="02040503050406030204" pitchFamily="18" charset="0"/>
                </a:rPr>
                <a:t>𝐼 ̅</a:t>
              </a:r>
              <a:r>
                <a:rPr lang="es-CO" sz="1100" i="1">
                  <a:latin typeface="Times New Roman" panose="02020603050405020304" pitchFamily="18" charset="0"/>
                  <a:cs typeface="Times New Roman" panose="02020603050405020304" pitchFamily="18" charset="0"/>
                </a:rPr>
                <a:t>  * 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𝐸_𝐼 ̅  </a:t>
              </a:r>
              <a:r>
                <a:rPr lang="es-CO" sz="1100" i="0">
                  <a:latin typeface="Cambria Math" panose="02040503050406030204" pitchFamily="18" charset="0"/>
                </a:rPr>
                <a:t> 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8</xdr:col>
      <xdr:colOff>365413</xdr:colOff>
      <xdr:row>53</xdr:row>
      <xdr:rowOff>127288</xdr:rowOff>
    </xdr:from>
    <xdr:ext cx="209609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CuadroTexto 22">
              <a:extLst>
                <a:ext uri="{FF2B5EF4-FFF2-40B4-BE49-F238E27FC236}">
                  <a16:creationId xmlns:a16="http://schemas.microsoft.com/office/drawing/2014/main" id="{00000000-0008-0000-0100-000017000000}"/>
                </a:ext>
              </a:extLst>
            </xdr:cNvPr>
            <xdr:cNvSpPr txBox="1"/>
          </xdr:nvSpPr>
          <xdr:spPr>
            <a:xfrm>
              <a:off x="3908713" y="20215513"/>
              <a:ext cx="209609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𝐼</m:t>
                        </m:r>
                      </m:e>
                    </m:acc>
                    <m:r>
                      <a:rPr lang="es-CO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𝑔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3" name="CuadroTexto 22"/>
            <xdr:cNvSpPr txBox="1"/>
          </xdr:nvSpPr>
          <xdr:spPr>
            <a:xfrm>
              <a:off x="3908713" y="20215513"/>
              <a:ext cx="209609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𝐼 ̅  𝑔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10</xdr:col>
      <xdr:colOff>536863</xdr:colOff>
      <xdr:row>53</xdr:row>
      <xdr:rowOff>112567</xdr:rowOff>
    </xdr:from>
    <xdr:ext cx="156261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>
              <a:extLst>
                <a:ext uri="{FF2B5EF4-FFF2-40B4-BE49-F238E27FC236}">
                  <a16:creationId xmlns:a16="http://schemas.microsoft.com/office/drawing/2014/main" id="{00000000-0008-0000-0100-000018000000}"/>
                </a:ext>
              </a:extLst>
            </xdr:cNvPr>
            <xdr:cNvSpPr txBox="1"/>
          </xdr:nvSpPr>
          <xdr:spPr>
            <a:xfrm>
              <a:off x="5851813" y="20200792"/>
              <a:ext cx="156261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s-CO" sz="1100" i="1">
                          <a:latin typeface="Cambria Math" panose="02040503050406030204" pitchFamily="18" charset="0"/>
                        </a:rPr>
                      </m:ctrlPr>
                    </m:accPr>
                    <m:e>
                      <m:r>
                        <a:rPr lang="es-CO" sz="1100" b="0" i="1">
                          <a:latin typeface="Cambria Math" panose="02040503050406030204" pitchFamily="18" charset="0"/>
                        </a:rPr>
                        <m:t>𝐼</m:t>
                      </m:r>
                    </m:e>
                  </m:acc>
                </m:oMath>
              </a14:m>
              <a:r>
                <a:rPr lang="es-CO" sz="1100"/>
                <a:t> g</a:t>
              </a:r>
            </a:p>
          </xdr:txBody>
        </xdr:sp>
      </mc:Choice>
      <mc:Fallback xmlns="">
        <xdr:sp macro="" textlink="">
          <xdr:nvSpPr>
            <xdr:cNvPr id="24" name="CuadroTexto 23"/>
            <xdr:cNvSpPr txBox="1"/>
          </xdr:nvSpPr>
          <xdr:spPr>
            <a:xfrm>
              <a:off x="5851813" y="20200792"/>
              <a:ext cx="156261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0" i="0">
                  <a:latin typeface="Cambria Math" panose="02040503050406030204" pitchFamily="18" charset="0"/>
                </a:rPr>
                <a:t>𝐼 ̅</a:t>
              </a:r>
              <a:r>
                <a:rPr lang="es-CO" sz="1100"/>
                <a:t> g</a:t>
              </a:r>
            </a:p>
          </xdr:txBody>
        </xdr:sp>
      </mc:Fallback>
    </mc:AlternateContent>
    <xdr:clientData/>
  </xdr:oneCellAnchor>
  <xdr:oneCellAnchor>
    <xdr:from>
      <xdr:col>11</xdr:col>
      <xdr:colOff>502227</xdr:colOff>
      <xdr:row>53</xdr:row>
      <xdr:rowOff>103908</xdr:rowOff>
    </xdr:from>
    <xdr:ext cx="327847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>
              <a:extLst>
                <a:ext uri="{FF2B5EF4-FFF2-40B4-BE49-F238E27FC236}">
                  <a16:creationId xmlns:a16="http://schemas.microsoft.com/office/drawing/2014/main" id="{00000000-0008-0000-0100-000019000000}"/>
                </a:ext>
              </a:extLst>
            </xdr:cNvPr>
            <xdr:cNvSpPr txBox="1"/>
          </xdr:nvSpPr>
          <xdr:spPr>
            <a:xfrm>
              <a:off x="6703002" y="20192133"/>
              <a:ext cx="327847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𝐼</m:t>
                        </m:r>
                      </m:e>
                    </m:acc>
                    <m:r>
                      <a:rPr lang="es-CO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𝑚𝑔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5" name="CuadroTexto 24"/>
            <xdr:cNvSpPr txBox="1"/>
          </xdr:nvSpPr>
          <xdr:spPr>
            <a:xfrm>
              <a:off x="6703002" y="20192133"/>
              <a:ext cx="327847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𝐼 ̅  𝑚𝑔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2</xdr:col>
      <xdr:colOff>254045</xdr:colOff>
      <xdr:row>107</xdr:row>
      <xdr:rowOff>96582</xdr:rowOff>
    </xdr:from>
    <xdr:ext cx="441852" cy="18415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uadroTexto 25">
              <a:extLst>
                <a:ext uri="{FF2B5EF4-FFF2-40B4-BE49-F238E27FC236}">
                  <a16:creationId xmlns:a16="http://schemas.microsoft.com/office/drawing/2014/main" id="{00000000-0008-0000-0100-00001A000000}"/>
                </a:ext>
              </a:extLst>
            </xdr:cNvPr>
            <xdr:cNvSpPr txBox="1"/>
          </xdr:nvSpPr>
          <xdr:spPr>
            <a:xfrm>
              <a:off x="2911520" y="42311382"/>
              <a:ext cx="441852" cy="1841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p>
                    <m:sSupPr>
                      <m:ctrlPr>
                        <a:rPr lang="es-CO" sz="1200" b="0" i="1">
                          <a:latin typeface="Cambria Math" panose="02040503050406030204" pitchFamily="18" charset="0"/>
                          <a:cs typeface="Times New Roman" panose="02020603050405020304" pitchFamily="18" charset="0"/>
                        </a:rPr>
                      </m:ctrlPr>
                    </m:sSupPr>
                    <m:e>
                      <m:acc>
                        <m:accPr>
                          <m:chr m:val="̅"/>
                          <m:ctrlPr>
                            <a:rPr kumimoji="0" lang="es-CO" sz="1100" b="0" i="1" u="none" strike="noStrike" kern="0" cap="none" spc="0" normalizeH="0" baseline="0" noProof="0">
                              <a:ln>
                                <a:noFill/>
                              </a:ln>
                              <a:solidFill>
                                <a:prstClr val="black"/>
                              </a:solidFill>
                              <a:effectLst/>
                              <a:uLnTx/>
                              <a:uFillTx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accPr>
                        <m:e>
                          <m:r>
                            <a:rPr kumimoji="0" lang="es-CO" sz="1100" b="0" i="1" u="none" strike="noStrike" kern="0" cap="none" spc="0" normalizeH="0" baseline="0" noProof="0">
                              <a:ln>
                                <a:noFill/>
                              </a:ln>
                              <a:solidFill>
                                <a:prstClr val="black"/>
                              </a:solidFill>
                              <a:effectLst/>
                              <a:uLnTx/>
                              <a:uFillTx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𝐼</m:t>
                          </m:r>
                        </m:e>
                      </m:acc>
                    </m:e>
                    <m:sup>
                      <m:r>
                        <a:rPr lang="es-CO" sz="1200" b="0" i="1">
                          <a:latin typeface="Cambria Math" panose="02040503050406030204" pitchFamily="18" charset="0"/>
                          <a:cs typeface="Times New Roman" panose="02020603050405020304" pitchFamily="18" charset="0"/>
                        </a:rPr>
                        <m:t>2</m:t>
                      </m:r>
                    </m:sup>
                  </m:sSup>
                  <m:r>
                    <a:rPr lang="es-CO" sz="1200" b="0" i="1">
                      <a:latin typeface="Cambria Math" panose="02040503050406030204" pitchFamily="18" charset="0"/>
                      <a:cs typeface="Times New Roman" panose="02020603050405020304" pitchFamily="18" charset="0"/>
                    </a:rPr>
                    <m:t>∗</m:t>
                  </m:r>
                  <m:r>
                    <a:rPr lang="es-CO" sz="1200" b="0" i="1">
                      <a:latin typeface="Cambria Math" panose="02040503050406030204" pitchFamily="18" charset="0"/>
                      <a:cs typeface="Times New Roman" panose="02020603050405020304" pitchFamily="18" charset="0"/>
                    </a:rPr>
                    <m:t>𝑝</m:t>
                  </m:r>
                </m:oMath>
              </a14:m>
              <a:r>
                <a:rPr lang="es-CO" sz="1200" b="0" i="1" baseline="0">
                  <a:latin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  <a:r>
                <a:rPr lang="es-CO" sz="1200" b="0" i="1">
                  <a:latin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</a:p>
          </xdr:txBody>
        </xdr:sp>
      </mc:Choice>
      <mc:Fallback xmlns="">
        <xdr:sp macro="" textlink="">
          <xdr:nvSpPr>
            <xdr:cNvPr id="26" name="CuadroTexto 25"/>
            <xdr:cNvSpPr txBox="1"/>
          </xdr:nvSpPr>
          <xdr:spPr>
            <a:xfrm>
              <a:off x="2911520" y="42311382"/>
              <a:ext cx="441852" cy="1841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kumimoji="0" lang="es-CO" sz="11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𝐼 ̅</a:t>
              </a:r>
              <a:r>
                <a:rPr kumimoji="0" lang="es-CO" sz="12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^</a:t>
              </a:r>
              <a:r>
                <a:rPr lang="es-CO" sz="1200" b="0" i="0">
                  <a:latin typeface="Cambria Math" panose="02040503050406030204" pitchFamily="18" charset="0"/>
                  <a:cs typeface="Times New Roman" panose="02020603050405020304" pitchFamily="18" charset="0"/>
                </a:rPr>
                <a:t>2∗𝑝</a:t>
              </a:r>
              <a:r>
                <a:rPr lang="es-CO" sz="1200" b="0" i="1" baseline="0">
                  <a:latin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  <a:r>
                <a:rPr lang="es-CO" sz="1200" b="0" i="1">
                  <a:latin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</a:p>
          </xdr:txBody>
        </xdr:sp>
      </mc:Fallback>
    </mc:AlternateContent>
    <xdr:clientData/>
  </xdr:oneCellAnchor>
  <xdr:oneCellAnchor>
    <xdr:from>
      <xdr:col>0</xdr:col>
      <xdr:colOff>90640</xdr:colOff>
      <xdr:row>115</xdr:row>
      <xdr:rowOff>228600</xdr:rowOff>
    </xdr:from>
    <xdr:ext cx="789584" cy="14343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>
              <a:extLst>
                <a:ext uri="{FF2B5EF4-FFF2-40B4-BE49-F238E27FC236}">
                  <a16:creationId xmlns:a16="http://schemas.microsoft.com/office/drawing/2014/main" id="{00000000-0008-0000-0100-00001B000000}"/>
                </a:ext>
              </a:extLst>
            </xdr:cNvPr>
            <xdr:cNvSpPr txBox="1"/>
          </xdr:nvSpPr>
          <xdr:spPr>
            <a:xfrm>
              <a:off x="8253565" y="42043350"/>
              <a:ext cx="789584" cy="14343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el-GR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𝛴</m:t>
                  </m:r>
                </m:oMath>
              </a14:m>
              <a:r>
                <a:rPr lang="es-CO" sz="1100" b="0" i="1">
                  <a:solidFill>
                    <a:schemeClr val="bg1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rPr>
                <a:t>pIE </a:t>
              </a:r>
              <a14:m>
                <m:oMath xmlns:m="http://schemas.openxmlformats.org/officeDocument/2006/math">
                  <m:r>
                    <a:rPr lang="es-CO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/ </m:t>
                  </m:r>
                  <m:r>
                    <a:rPr lang="el-GR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𝛴</m:t>
                  </m:r>
                  <m:sSup>
                    <m:sSupPr>
                      <m:ctrlPr>
                        <a:rPr lang="el-GR" sz="11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es-CO" sz="11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𝑝𝐼</m:t>
                      </m:r>
                    </m:e>
                    <m:sup>
                      <m:r>
                        <a:rPr lang="es-CO" sz="11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sup>
                  </m:sSup>
                </m:oMath>
              </a14:m>
              <a:r>
                <a:rPr lang="es-CO" sz="1100" b="1" baseline="0">
                  <a:solidFill>
                    <a:schemeClr val="bg1"/>
                  </a:solidFill>
                </a:rPr>
                <a:t> </a:t>
              </a:r>
              <a:r>
                <a:rPr lang="es-CO" sz="1100" b="1">
                  <a:solidFill>
                    <a:schemeClr val="bg1"/>
                  </a:solidFill>
                </a:rPr>
                <a:t> </a:t>
              </a:r>
            </a:p>
          </xdr:txBody>
        </xdr:sp>
      </mc:Choice>
      <mc:Fallback xmlns="">
        <xdr:sp macro="" textlink="">
          <xdr:nvSpPr>
            <xdr:cNvPr id="27" name="CuadroTexto 26"/>
            <xdr:cNvSpPr txBox="1"/>
          </xdr:nvSpPr>
          <xdr:spPr>
            <a:xfrm>
              <a:off x="8253565" y="42043350"/>
              <a:ext cx="789584" cy="14343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l-GR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𝛴</a:t>
              </a:r>
              <a:r>
                <a:rPr lang="es-CO" sz="1100" b="0" i="1">
                  <a:solidFill>
                    <a:schemeClr val="bg1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rPr>
                <a:t>pIE </a:t>
              </a:r>
              <a:r>
                <a:rPr lang="es-CO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/ </a:t>
              </a:r>
              <a:r>
                <a:rPr lang="el-GR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𝛴〖</a:t>
              </a:r>
              <a:r>
                <a:rPr lang="es-CO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𝑝𝐼</a:t>
              </a:r>
              <a:r>
                <a:rPr lang="el-GR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</a:t>
              </a:r>
              <a:r>
                <a:rPr lang="es-CO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lang="es-CO" sz="1100" b="1" baseline="0">
                  <a:solidFill>
                    <a:schemeClr val="bg1"/>
                  </a:solidFill>
                </a:rPr>
                <a:t> </a:t>
              </a:r>
              <a:r>
                <a:rPr lang="es-CO" sz="1100" b="1">
                  <a:solidFill>
                    <a:schemeClr val="bg1"/>
                  </a:solidFill>
                </a:rPr>
                <a:t> </a:t>
              </a:r>
            </a:p>
          </xdr:txBody>
        </xdr:sp>
      </mc:Fallback>
    </mc:AlternateContent>
    <xdr:clientData/>
  </xdr:oneCellAnchor>
  <xdr:oneCellAnchor>
    <xdr:from>
      <xdr:col>0</xdr:col>
      <xdr:colOff>624477</xdr:colOff>
      <xdr:row>117</xdr:row>
      <xdr:rowOff>129886</xdr:rowOff>
    </xdr:from>
    <xdr:ext cx="441614" cy="17966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>
              <a:extLst>
                <a:ext uri="{FF2B5EF4-FFF2-40B4-BE49-F238E27FC236}">
                  <a16:creationId xmlns:a16="http://schemas.microsoft.com/office/drawing/2014/main" id="{00000000-0008-0000-0100-00001C000000}"/>
                </a:ext>
              </a:extLst>
            </xdr:cNvPr>
            <xdr:cNvSpPr txBox="1"/>
          </xdr:nvSpPr>
          <xdr:spPr>
            <a:xfrm>
              <a:off x="12155330" y="39440121"/>
              <a:ext cx="441614" cy="1796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100" b="0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1/</a:t>
              </a:r>
              <a:r>
                <a:rPr lang="el-GR" sz="1100" b="0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Σ</a:t>
              </a:r>
              <a14:m>
                <m:oMath xmlns:m="http://schemas.openxmlformats.org/officeDocument/2006/math">
                  <m:r>
                    <a:rPr lang="es-CO" sz="11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𝑝</m:t>
                  </m:r>
                  <m:sSup>
                    <m:sSupPr>
                      <m:ctrlP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𝐼</m:t>
                      </m:r>
                    </m:e>
                    <m:sup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sup>
                  </m:sSup>
                </m:oMath>
              </a14:m>
              <a:endParaRPr lang="es-CO" sz="1100" b="0" i="1"/>
            </a:p>
          </xdr:txBody>
        </xdr:sp>
      </mc:Choice>
      <mc:Fallback xmlns="">
        <xdr:sp macro="" textlink="">
          <xdr:nvSpPr>
            <xdr:cNvPr id="28" name="CuadroTexto 27"/>
            <xdr:cNvSpPr txBox="1"/>
          </xdr:nvSpPr>
          <xdr:spPr>
            <a:xfrm>
              <a:off x="12155330" y="39440121"/>
              <a:ext cx="441614" cy="1796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100" b="0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1/</a:t>
              </a:r>
              <a:r>
                <a:rPr lang="el-GR" sz="1100" b="0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Σ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𝑝𝐼^2</a:t>
              </a:r>
              <a:endParaRPr lang="es-CO" sz="1100" b="0" i="1"/>
            </a:p>
          </xdr:txBody>
        </xdr:sp>
      </mc:Fallback>
    </mc:AlternateContent>
    <xdr:clientData/>
  </xdr:oneCellAnchor>
  <xdr:oneCellAnchor>
    <xdr:from>
      <xdr:col>3</xdr:col>
      <xdr:colOff>17319</xdr:colOff>
      <xdr:row>116</xdr:row>
      <xdr:rowOff>121227</xdr:rowOff>
    </xdr:from>
    <xdr:ext cx="808875" cy="1847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>
              <a:extLst>
                <a:ext uri="{FF2B5EF4-FFF2-40B4-BE49-F238E27FC236}">
                  <a16:creationId xmlns:a16="http://schemas.microsoft.com/office/drawing/2014/main" id="{00000000-0008-0000-0100-00001D000000}"/>
                </a:ext>
              </a:extLst>
            </xdr:cNvPr>
            <xdr:cNvSpPr txBox="1"/>
          </xdr:nvSpPr>
          <xdr:spPr>
            <a:xfrm>
              <a:off x="3364676" y="44235584"/>
              <a:ext cx="808875" cy="1847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100" b="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m:rPr>
                            <m:nor/>
                          </m:rPr>
                          <a:rPr lang="es-CO" sz="1100" b="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s</m:t>
                        </m:r>
                        <m:r>
                          <m:rPr>
                            <m:nor/>
                          </m:rPr>
                          <a:rPr lang="es-CO" sz="1100" b="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  </m:t>
                        </m:r>
                        <m:r>
                          <m:rPr>
                            <m:sty m:val="p"/>
                          </m:rPr>
                          <a:rPr lang="es-CO" sz="1100" b="0" i="1" baseline="0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Times New Roman" panose="02020603050405020304" pitchFamily="18" charset="0"/>
                          </a:rPr>
                          <m:t>m</m:t>
                        </m:r>
                        <m:r>
                          <a:rPr lang="es-CO" sz="1100" b="0" i="1" baseline="0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Times New Roman" panose="02020603050405020304" pitchFamily="18" charset="0"/>
                          </a:rPr>
                          <m:t>á</m:t>
                        </m:r>
                        <m:r>
                          <m:rPr>
                            <m:sty m:val="p"/>
                          </m:rPr>
                          <a:rPr lang="es-CO" sz="1100" b="0" i="1" baseline="0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Times New Roman" panose="02020603050405020304" pitchFamily="18" charset="0"/>
                          </a:rPr>
                          <m:t>xima</m:t>
                        </m:r>
                        <m:r>
                          <m:rPr>
                            <m:nor/>
                          </m:rPr>
                          <a:rPr lang="es-CO" sz="1100" b="0" i="1" baseline="0">
                            <a:solidFill>
                              <a:schemeClr val="bg1"/>
                            </a:solidFill>
                            <a:effectLst/>
                            <a:latin typeface="Times New Roman" panose="02020603050405020304" pitchFamily="18" charset="0"/>
                            <a:ea typeface="+mn-ea"/>
                            <a:cs typeface="Times New Roman" panose="02020603050405020304" pitchFamily="18" charset="0"/>
                          </a:rPr>
                          <m:t>  </m:t>
                        </m:r>
                        <m:r>
                          <m:rPr>
                            <m:nor/>
                          </m:rPr>
                          <a:rPr lang="es-CO" b="0" i="1">
                            <a:solidFill>
                              <a:schemeClr val="bg1"/>
                            </a:solidFill>
                            <a:effectLst/>
                            <a:latin typeface="Times New Roman" panose="02020603050405020304" pitchFamily="18" charset="0"/>
                            <a:cs typeface="Times New Roman" panose="02020603050405020304" pitchFamily="18" charset="0"/>
                          </a:rPr>
                          <m:t> </m:t>
                        </m:r>
                      </m:e>
                      <m:sup>
                        <m:r>
                          <a:rPr lang="es-CO" sz="1100" b="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s-CO" sz="1100" b="0" i="1">
                <a:solidFill>
                  <a:schemeClr val="bg1"/>
                </a:solidFill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29" name="CuadroTexto 28"/>
            <xdr:cNvSpPr txBox="1"/>
          </xdr:nvSpPr>
          <xdr:spPr>
            <a:xfrm>
              <a:off x="9218469" y="43136127"/>
              <a:ext cx="775725" cy="1751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solidFill>
                    <a:schemeClr val="bg1"/>
                  </a:solidFill>
                  <a:latin typeface="Cambria Math" panose="02040503050406030204" pitchFamily="18" charset="0"/>
                </a:rPr>
                <a:t>〖"s  </a:t>
              </a:r>
              <a:r>
                <a:rPr lang="es-CO" sz="1100" b="0" i="0" baseline="0">
                  <a:solidFill>
                    <a:schemeClr val="bg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maxima  </a:t>
              </a:r>
              <a:r>
                <a:rPr lang="es-CO" b="0" i="0">
                  <a:solidFill>
                    <a:schemeClr val="bg1"/>
                  </a:solidFill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  <a:r>
                <a:rPr lang="es-CO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cs typeface="Times New Roman" panose="02020603050405020304" pitchFamily="18" charset="0"/>
                </a:rPr>
                <a:t>" </a:t>
              </a:r>
              <a:r>
                <a:rPr lang="es-CO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cs typeface="Times New Roman" panose="02020603050405020304" pitchFamily="18" charset="0"/>
                </a:rPr>
                <a:t>〗^</a:t>
              </a:r>
              <a:r>
                <a:rPr lang="es-CO" sz="1100" b="0" i="0">
                  <a:solidFill>
                    <a:schemeClr val="bg1"/>
                  </a:solidFill>
                  <a:latin typeface="Cambria Math" panose="02040503050406030204" pitchFamily="18" charset="0"/>
                </a:rPr>
                <a:t>2</a:t>
              </a:r>
              <a:endParaRPr lang="es-CO" sz="1100" b="0" i="1">
                <a:solidFill>
                  <a:schemeClr val="bg1"/>
                </a:solidFill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67246</xdr:colOff>
      <xdr:row>117</xdr:row>
      <xdr:rowOff>15371</xdr:rowOff>
    </xdr:from>
    <xdr:ext cx="835559" cy="34738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>
              <a:extLst>
                <a:ext uri="{FF2B5EF4-FFF2-40B4-BE49-F238E27FC236}">
                  <a16:creationId xmlns:a16="http://schemas.microsoft.com/office/drawing/2014/main" id="{00000000-0008-0000-0100-00001E000000}"/>
                </a:ext>
              </a:extLst>
            </xdr:cNvPr>
            <xdr:cNvSpPr txBox="1"/>
          </xdr:nvSpPr>
          <xdr:spPr>
            <a:xfrm>
              <a:off x="10154221" y="43430321"/>
              <a:ext cx="835559" cy="3473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8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f>
                          <m:fPr>
                            <m:ctrlPr>
                              <a:rPr lang="es-CO" sz="8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es-CO" sz="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a:rPr lang="es-CO" sz="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𝑑</m:t>
                                </m:r>
                              </m:e>
                              <m:sup>
                                <m:r>
                                  <a:rPr lang="es-CO" sz="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p>
                            </m:sSup>
                          </m:num>
                          <m:den>
                            <m:r>
                              <a:rPr lang="es-CO" sz="8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6</m:t>
                            </m:r>
                          </m:den>
                        </m:f>
                        <m:r>
                          <m:rPr>
                            <m:nor/>
                          </m:rPr>
                          <a:rPr lang="es-CO" sz="8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CO" sz="8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+</m:t>
                        </m:r>
                        <m:r>
                          <a:rPr lang="es-CO" sz="8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sSup>
                          <m:sSupPr>
                            <m:ctrlPr>
                              <a:rPr lang="es-CO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𝑠</m:t>
                            </m:r>
                            <m:r>
                              <a:rPr lang="es-CO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</m:t>
                            </m:r>
                            <m:r>
                              <a:rPr lang="es-CO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𝑚𝑎𝑥𝑖𝑚𝑎</m:t>
                            </m:r>
                          </m:e>
                          <m:sup>
                            <m:r>
                              <a:rPr lang="es-CO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</m:e>
                      <m:sup/>
                    </m:sSup>
                  </m:oMath>
                </m:oMathPara>
              </a14:m>
              <a:endParaRPr lang="es-CO" sz="1050" b="1"/>
            </a:p>
          </xdr:txBody>
        </xdr:sp>
      </mc:Choice>
      <mc:Fallback xmlns="">
        <xdr:sp macro="" textlink="">
          <xdr:nvSpPr>
            <xdr:cNvPr id="30" name="CuadroTexto 29"/>
            <xdr:cNvSpPr txBox="1"/>
          </xdr:nvSpPr>
          <xdr:spPr>
            <a:xfrm>
              <a:off x="10154221" y="43430321"/>
              <a:ext cx="835559" cy="3473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s-CO" sz="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〖𝑑^2/6</a:t>
              </a:r>
              <a:r>
                <a:rPr lang="es-CO" sz="8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"</a:t>
              </a:r>
              <a:r>
                <a:rPr lang="es-CO" sz="8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s-CO" sz="8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</a:t>
              </a:r>
              <a:r>
                <a:rPr lang="es-CO" sz="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 </a:t>
              </a:r>
              <a:r>
                <a:rPr lang="es-CO" sz="1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〖𝑠 𝑚𝑎𝑥𝑖𝑚𝑎〗^2</a:t>
              </a:r>
              <a:r>
                <a:rPr lang="es-CO" sz="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</a:t>
              </a:r>
              <a:endParaRPr lang="es-CO" sz="1050" b="1"/>
            </a:p>
          </xdr:txBody>
        </xdr:sp>
      </mc:Fallback>
    </mc:AlternateContent>
    <xdr:clientData/>
  </xdr:oneCellAnchor>
  <xdr:oneCellAnchor>
    <xdr:from>
      <xdr:col>3</xdr:col>
      <xdr:colOff>129221</xdr:colOff>
      <xdr:row>107</xdr:row>
      <xdr:rowOff>57188</xdr:rowOff>
    </xdr:from>
    <xdr:ext cx="865910" cy="33770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CuadroTexto 30">
              <a:extLst>
                <a:ext uri="{FF2B5EF4-FFF2-40B4-BE49-F238E27FC236}">
                  <a16:creationId xmlns:a16="http://schemas.microsoft.com/office/drawing/2014/main" id="{00000000-0008-0000-0100-00001F000000}"/>
                </a:ext>
              </a:extLst>
            </xdr:cNvPr>
            <xdr:cNvSpPr txBox="1"/>
          </xdr:nvSpPr>
          <xdr:spPr>
            <a:xfrm>
              <a:off x="5109435" y="38783117"/>
              <a:ext cx="865910" cy="3377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sSup>
                          <m:sSup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(</m:t>
                            </m:r>
                            <m:acc>
                              <m:accPr>
                                <m:chr m:val="̅"/>
                                <m:ctrlPr>
                                  <a:rPr lang="es-CO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accPr>
                              <m:e>
                                <m: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𝐼</m:t>
                                </m:r>
                              </m:e>
                            </m:acc>
                          </m:e>
                          <m:sup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∗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𝑝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e>
                      <m:sup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r>
                      <a:rPr lang="es-CO" sz="105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∗ </m:t>
                    </m:r>
                    <m:f>
                      <m:fPr>
                        <m:ctrlP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</m:t>
                            </m:r>
                          </m:e>
                          <m:sup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</m:num>
                      <m:den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6</m:t>
                        </m:r>
                      </m:den>
                    </m:f>
                  </m:oMath>
                </m:oMathPara>
              </a14:m>
              <a:endParaRPr lang="es-CO">
                <a:effectLst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1" name="CuadroTexto 30"/>
            <xdr:cNvSpPr txBox="1"/>
          </xdr:nvSpPr>
          <xdr:spPr>
            <a:xfrm>
              <a:off x="5109435" y="38783117"/>
              <a:ext cx="865910" cy="3377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〖〖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(𝐼 ̅〗^2  ∗𝑝)〗^2  ∗  𝑑^2/6</a:t>
              </a:r>
              <a:endParaRPr lang="es-CO">
                <a:effectLst/>
              </a:endParaRPr>
            </a:p>
            <a:p>
              <a:pPr/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1105964</xdr:colOff>
      <xdr:row>113</xdr:row>
      <xdr:rowOff>71311</xdr:rowOff>
    </xdr:from>
    <xdr:ext cx="1109797" cy="2551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>
              <a:extLst>
                <a:ext uri="{FF2B5EF4-FFF2-40B4-BE49-F238E27FC236}">
                  <a16:creationId xmlns:a16="http://schemas.microsoft.com/office/drawing/2014/main" id="{00000000-0008-0000-0100-000020000000}"/>
                </a:ext>
              </a:extLst>
            </xdr:cNvPr>
            <xdr:cNvSpPr txBox="1"/>
          </xdr:nvSpPr>
          <xdr:spPr>
            <a:xfrm>
              <a:off x="7167328" y="41167356"/>
              <a:ext cx="1109797" cy="2551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l-GR" sz="1100" b="0">
                  <a:solidFill>
                    <a:schemeClr val="bg1"/>
                  </a:solidFill>
                  <a:effectLst/>
                  <a:ea typeface="+mn-ea"/>
                  <a:cs typeface="+mn-cs"/>
                </a:rPr>
                <a:t>Σ</a:t>
              </a:r>
              <a14:m>
                <m:oMath xmlns:m="http://schemas.openxmlformats.org/officeDocument/2006/math">
                  <m:r>
                    <a:rPr lang="es-CO" sz="12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𝑝</m:t>
                  </m:r>
                  <m:sSup>
                    <m:sSupPr>
                      <m:ctrlP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(</m:t>
                      </m:r>
                      <m:sSub>
                        <m:sSubPr>
                          <m:ctrlPr>
                            <a:rPr lang="es-CO" sz="1200" b="0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s-CO" sz="1200" b="0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𝑎</m:t>
                          </m:r>
                        </m:e>
                        <m:sub>
                          <m:r>
                            <a:rPr lang="es-CO" sz="1200" b="0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1</m:t>
                          </m:r>
                        </m:sub>
                      </m:sSub>
                      <m: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∗</m:t>
                      </m:r>
                      <m: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𝐼</m:t>
                      </m:r>
                      <m: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−</m:t>
                      </m:r>
                      <m: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𝐸</m:t>
                      </m:r>
                      <m: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)</m:t>
                      </m:r>
                    </m:e>
                    <m:sup>
                      <m: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sup>
                  </m:sSup>
                </m:oMath>
              </a14:m>
              <a:r>
                <a:rPr lang="es-CO" sz="1100" b="1" baseline="0">
                  <a:solidFill>
                    <a:schemeClr val="bg1"/>
                  </a:solidFill>
                </a:rPr>
                <a:t> </a:t>
              </a:r>
              <a:r>
                <a:rPr lang="es-CO" sz="1100" b="1">
                  <a:solidFill>
                    <a:schemeClr val="bg1"/>
                  </a:solidFill>
                </a:rPr>
                <a:t> </a:t>
              </a:r>
            </a:p>
          </xdr:txBody>
        </xdr:sp>
      </mc:Choice>
      <mc:Fallback xmlns="">
        <xdr:sp macro="" textlink="">
          <xdr:nvSpPr>
            <xdr:cNvPr id="32" name="CuadroTexto 31"/>
            <xdr:cNvSpPr txBox="1"/>
          </xdr:nvSpPr>
          <xdr:spPr>
            <a:xfrm>
              <a:off x="7167328" y="41167356"/>
              <a:ext cx="1109797" cy="2551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l-GR" sz="1100" b="0">
                  <a:solidFill>
                    <a:schemeClr val="bg1"/>
                  </a:solidFill>
                  <a:effectLst/>
                  <a:ea typeface="+mn-ea"/>
                  <a:cs typeface="+mn-cs"/>
                </a:rPr>
                <a:t>Σ</a:t>
              </a:r>
              <a:r>
                <a:rPr lang="es-CO" sz="12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𝑝〖(𝑎_1  ∗𝐼 −𝐸)〗^2</a:t>
              </a:r>
              <a:r>
                <a:rPr lang="es-CO" sz="1100" b="1" baseline="0">
                  <a:solidFill>
                    <a:schemeClr val="bg1"/>
                  </a:solidFill>
                </a:rPr>
                <a:t> </a:t>
              </a:r>
              <a:r>
                <a:rPr lang="es-CO" sz="1100" b="1">
                  <a:solidFill>
                    <a:schemeClr val="bg1"/>
                  </a:solidFill>
                </a:rPr>
                <a:t> </a:t>
              </a:r>
            </a:p>
          </xdr:txBody>
        </xdr:sp>
      </mc:Fallback>
    </mc:AlternateContent>
    <xdr:clientData/>
  </xdr:oneCellAnchor>
  <xdr:oneCellAnchor>
    <xdr:from>
      <xdr:col>8</xdr:col>
      <xdr:colOff>593912</xdr:colOff>
      <xdr:row>115</xdr:row>
      <xdr:rowOff>33620</xdr:rowOff>
    </xdr:from>
    <xdr:ext cx="1916206" cy="31376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>
              <a:extLst>
                <a:ext uri="{FF2B5EF4-FFF2-40B4-BE49-F238E27FC236}">
                  <a16:creationId xmlns:a16="http://schemas.microsoft.com/office/drawing/2014/main" id="{00000000-0008-0000-0100-000021000000}"/>
                </a:ext>
              </a:extLst>
            </xdr:cNvPr>
            <xdr:cNvSpPr txBox="1"/>
          </xdr:nvSpPr>
          <xdr:spPr>
            <a:xfrm>
              <a:off x="8756837" y="47849120"/>
              <a:ext cx="1916206" cy="3137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CO" sz="1600">
                  <a:solidFill>
                    <a:schemeClr val="bg1"/>
                  </a:solidFill>
                </a:rPr>
                <a:t>|min</a:t>
              </a:r>
              <a:r>
                <a:rPr lang="es-CO" sz="1600" baseline="0">
                  <a:solidFill>
                    <a:schemeClr val="bg1"/>
                  </a:solidFill>
                </a:rPr>
                <a:t>X</a:t>
              </a:r>
              <a:r>
                <a:rPr lang="es-CO" sz="1600" baseline="30000">
                  <a:solidFill>
                    <a:schemeClr val="bg1"/>
                  </a:solidFill>
                </a:rPr>
                <a:t>2</a:t>
              </a:r>
              <a14:m>
                <m:oMath xmlns:m="http://schemas.openxmlformats.org/officeDocument/2006/math">
                  <m:r>
                    <a:rPr lang="es-CO" sz="1600" i="1" baseline="0">
                      <a:solidFill>
                        <a:schemeClr val="bg1"/>
                      </a:solidFill>
                      <a:latin typeface="Cambria Math" panose="02040503050406030204" pitchFamily="18" charset="0"/>
                    </a:rPr>
                    <m:t>−</m:t>
                  </m:r>
                  <m:r>
                    <a:rPr lang="es-CO" sz="1600" b="0" i="1" baseline="0">
                      <a:solidFill>
                        <a:schemeClr val="bg1"/>
                      </a:solidFill>
                      <a:latin typeface="Cambria Math" panose="02040503050406030204" pitchFamily="18" charset="0"/>
                    </a:rPr>
                    <m:t> </m:t>
                  </m:r>
                  <m:r>
                    <a:rPr lang="es-CO" sz="1600" b="0" i="1" baseline="0">
                      <a:solidFill>
                        <a:schemeClr val="bg1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𝜐</m:t>
                  </m:r>
                  <m:r>
                    <a:rPr lang="es-CO" sz="1600" b="0" i="1" baseline="0">
                      <a:solidFill>
                        <a:schemeClr val="bg1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|≤ </m:t>
                  </m:r>
                  <m:r>
                    <a:rPr lang="es-CO" sz="1600" b="0" i="1" baseline="0">
                      <a:solidFill>
                        <a:schemeClr val="bg1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𝛽</m:t>
                  </m:r>
                  <m:r>
                    <a:rPr lang="es-CO" sz="1600" b="0" i="1" baseline="0">
                      <a:solidFill>
                        <a:schemeClr val="bg1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rad>
                    <m:radPr>
                      <m:degHide m:val="on"/>
                      <m:ctrlPr>
                        <a:rPr lang="es-CO" sz="1600" b="0" i="1" baseline="0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radPr>
                    <m:deg/>
                    <m:e>
                      <m:r>
                        <a:rPr lang="es-CO" sz="1600" b="0" i="1" baseline="0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  <m:r>
                        <a:rPr lang="es-CO" sz="1600" b="0" i="1" baseline="0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𝜐</m:t>
                      </m:r>
                    </m:e>
                  </m:rad>
                </m:oMath>
              </a14:m>
              <a:endParaRPr lang="es-CO" sz="1600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3" name="CuadroTexto 32"/>
            <xdr:cNvSpPr txBox="1"/>
          </xdr:nvSpPr>
          <xdr:spPr>
            <a:xfrm>
              <a:off x="8756837" y="47849120"/>
              <a:ext cx="1916206" cy="3137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CO" sz="1600">
                  <a:solidFill>
                    <a:schemeClr val="bg1"/>
                  </a:solidFill>
                </a:rPr>
                <a:t>|min</a:t>
              </a:r>
              <a:r>
                <a:rPr lang="es-CO" sz="1600" baseline="0">
                  <a:solidFill>
                    <a:schemeClr val="bg1"/>
                  </a:solidFill>
                </a:rPr>
                <a:t>X</a:t>
              </a:r>
              <a:r>
                <a:rPr lang="es-CO" sz="1600" baseline="30000">
                  <a:solidFill>
                    <a:schemeClr val="bg1"/>
                  </a:solidFill>
                </a:rPr>
                <a:t>2</a:t>
              </a:r>
              <a:r>
                <a:rPr lang="es-CO" sz="1600" i="0" baseline="0">
                  <a:solidFill>
                    <a:schemeClr val="bg1"/>
                  </a:solidFill>
                  <a:latin typeface="Cambria Math" panose="02040503050406030204" pitchFamily="18" charset="0"/>
                </a:rPr>
                <a:t>−</a:t>
              </a:r>
              <a:r>
                <a:rPr lang="es-CO" sz="1600" b="0" i="0" baseline="0">
                  <a:solidFill>
                    <a:schemeClr val="bg1"/>
                  </a:solidFill>
                  <a:latin typeface="Cambria Math" panose="02040503050406030204" pitchFamily="18" charset="0"/>
                </a:rPr>
                <a:t> </a:t>
              </a:r>
              <a:r>
                <a:rPr lang="es-CO" sz="1600" b="0" i="0" baseline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𝜐 |≤ 𝛽 √2𝜐</a:t>
              </a:r>
              <a:endParaRPr lang="es-CO" sz="1600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2</xdr:col>
      <xdr:colOff>119816</xdr:colOff>
      <xdr:row>131</xdr:row>
      <xdr:rowOff>172452</xdr:rowOff>
    </xdr:from>
    <xdr:ext cx="695324" cy="1905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CuadroTexto 34">
              <a:extLst>
                <a:ext uri="{FF2B5EF4-FFF2-40B4-BE49-F238E27FC236}">
                  <a16:creationId xmlns:a16="http://schemas.microsoft.com/office/drawing/2014/main" id="{00000000-0008-0000-0100-000023000000}"/>
                </a:ext>
              </a:extLst>
            </xdr:cNvPr>
            <xdr:cNvSpPr txBox="1"/>
          </xdr:nvSpPr>
          <xdr:spPr>
            <a:xfrm>
              <a:off x="1891466" y="53988702"/>
              <a:ext cx="695324" cy="1905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 ∗ </m:t>
                    </m:r>
                    <m:sSup>
                      <m:sSup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m:rPr>
                            <m:nor/>
                          </m:rPr>
                          <a:rPr lang="es-CO" sz="1100" b="0" i="1">
                            <a:latin typeface="Cambria Math" panose="02040503050406030204" pitchFamily="18" charset="0"/>
                          </a:rPr>
                          <m:t>u</m:t>
                        </m:r>
                      </m:e>
                      <m:sup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𝑅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0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35" name="CuadroTexto 34"/>
            <xdr:cNvSpPr txBox="1"/>
          </xdr:nvSpPr>
          <xdr:spPr>
            <a:xfrm>
              <a:off x="1891466" y="53988702"/>
              <a:ext cx="695324" cy="1905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𝑎_1  ∗ "u" ^2 (𝑅)</a:t>
              </a:r>
              <a:endParaRPr lang="es-CO" sz="1100" b="0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9</xdr:col>
      <xdr:colOff>359019</xdr:colOff>
      <xdr:row>53</xdr:row>
      <xdr:rowOff>140678</xdr:rowOff>
    </xdr:from>
    <xdr:ext cx="358487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CuadroTexto 35">
              <a:extLst>
                <a:ext uri="{FF2B5EF4-FFF2-40B4-BE49-F238E27FC236}">
                  <a16:creationId xmlns:a16="http://schemas.microsoft.com/office/drawing/2014/main" id="{00000000-0008-0000-0100-000024000000}"/>
                </a:ext>
              </a:extLst>
            </xdr:cNvPr>
            <xdr:cNvSpPr txBox="1"/>
          </xdr:nvSpPr>
          <xdr:spPr>
            <a:xfrm>
              <a:off x="4788144" y="20228903"/>
              <a:ext cx="358487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𝐼</m:t>
                        </m:r>
                      </m:e>
                    </m:acc>
                    <m:r>
                      <a:rPr lang="es-CO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𝑚𝑔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6" name="CuadroTexto 35"/>
            <xdr:cNvSpPr txBox="1"/>
          </xdr:nvSpPr>
          <xdr:spPr>
            <a:xfrm>
              <a:off x="4788144" y="20228903"/>
              <a:ext cx="358487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𝐼 ̅  𝑚𝑔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3</xdr:col>
      <xdr:colOff>554005</xdr:colOff>
      <xdr:row>85</xdr:row>
      <xdr:rowOff>82614</xdr:rowOff>
    </xdr:from>
    <xdr:ext cx="595611" cy="18562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CuadroTexto 36">
              <a:extLst>
                <a:ext uri="{FF2B5EF4-FFF2-40B4-BE49-F238E27FC236}">
                  <a16:creationId xmlns:a16="http://schemas.microsoft.com/office/drawing/2014/main" id="{00000000-0008-0000-0100-000025000000}"/>
                </a:ext>
              </a:extLst>
            </xdr:cNvPr>
            <xdr:cNvSpPr txBox="1"/>
          </xdr:nvSpPr>
          <xdr:spPr>
            <a:xfrm>
              <a:off x="3344830" y="29514864"/>
              <a:ext cx="595611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𝑒𝑐𝑐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7" name="CuadroTexto 36"/>
            <xdr:cNvSpPr txBox="1"/>
          </xdr:nvSpPr>
          <xdr:spPr>
            <a:xfrm>
              <a:off x="3344830" y="29514864"/>
              <a:ext cx="595611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(𝑒𝑐𝑐)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3</xdr:col>
      <xdr:colOff>564114</xdr:colOff>
      <xdr:row>87</xdr:row>
      <xdr:rowOff>116827</xdr:rowOff>
    </xdr:from>
    <xdr:ext cx="611065" cy="18562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CuadroTexto 37">
              <a:extLst>
                <a:ext uri="{FF2B5EF4-FFF2-40B4-BE49-F238E27FC236}">
                  <a16:creationId xmlns:a16="http://schemas.microsoft.com/office/drawing/2014/main" id="{00000000-0008-0000-0100-000026000000}"/>
                </a:ext>
              </a:extLst>
            </xdr:cNvPr>
            <xdr:cNvSpPr txBox="1"/>
          </xdr:nvSpPr>
          <xdr:spPr>
            <a:xfrm>
              <a:off x="3354939" y="30349177"/>
              <a:ext cx="611065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𝑑𝑖𝑔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8" name="CuadroTexto 37"/>
            <xdr:cNvSpPr txBox="1"/>
          </xdr:nvSpPr>
          <xdr:spPr>
            <a:xfrm>
              <a:off x="3354939" y="30349177"/>
              <a:ext cx="611065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(𝑑𝑖𝑔)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3</xdr:col>
      <xdr:colOff>795049</xdr:colOff>
      <xdr:row>90</xdr:row>
      <xdr:rowOff>97194</xdr:rowOff>
    </xdr:from>
    <xdr:ext cx="591764" cy="1831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>
              <a:extLst>
                <a:ext uri="{FF2B5EF4-FFF2-40B4-BE49-F238E27FC236}">
                  <a16:creationId xmlns:a16="http://schemas.microsoft.com/office/drawing/2014/main" id="{00000000-0008-0000-0100-000027000000}"/>
                </a:ext>
              </a:extLst>
            </xdr:cNvPr>
            <xdr:cNvSpPr txBox="1"/>
          </xdr:nvSpPr>
          <xdr:spPr>
            <a:xfrm>
              <a:off x="3584513" y="31965123"/>
              <a:ext cx="591764" cy="1831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𝑐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s-CO" sz="1400"/>
            </a:p>
          </xdr:txBody>
        </xdr:sp>
      </mc:Choice>
      <mc:Fallback xmlns="">
        <xdr:sp macro="" textlink="">
          <xdr:nvSpPr>
            <xdr:cNvPr id="39" name="CuadroTexto 38"/>
            <xdr:cNvSpPr txBox="1"/>
          </xdr:nvSpPr>
          <xdr:spPr>
            <a:xfrm>
              <a:off x="3584513" y="31965123"/>
              <a:ext cx="591764" cy="1831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(𝑚_𝑐)</a:t>
              </a:r>
              <a:endParaRPr lang="es-CO" sz="1400"/>
            </a:p>
          </xdr:txBody>
        </xdr:sp>
      </mc:Fallback>
    </mc:AlternateContent>
    <xdr:clientData/>
  </xdr:oneCellAnchor>
  <xdr:oneCellAnchor>
    <xdr:from>
      <xdr:col>3</xdr:col>
      <xdr:colOff>814484</xdr:colOff>
      <xdr:row>91</xdr:row>
      <xdr:rowOff>116632</xdr:rowOff>
    </xdr:from>
    <xdr:ext cx="592533" cy="18562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" name="CuadroTexto 39">
              <a:extLst>
                <a:ext uri="{FF2B5EF4-FFF2-40B4-BE49-F238E27FC236}">
                  <a16:creationId xmlns:a16="http://schemas.microsoft.com/office/drawing/2014/main" id="{00000000-0008-0000-0100-000028000000}"/>
                </a:ext>
              </a:extLst>
            </xdr:cNvPr>
            <xdr:cNvSpPr txBox="1"/>
          </xdr:nvSpPr>
          <xdr:spPr>
            <a:xfrm>
              <a:off x="3603948" y="32379168"/>
              <a:ext cx="592533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𝐵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s-CO">
                <a:effectLst/>
              </a:endParaRPr>
            </a:p>
          </xdr:txBody>
        </xdr:sp>
      </mc:Choice>
      <mc:Fallback xmlns="">
        <xdr:sp macro="" textlink="">
          <xdr:nvSpPr>
            <xdr:cNvPr id="40" name="CuadroTexto 39"/>
            <xdr:cNvSpPr txBox="1"/>
          </xdr:nvSpPr>
          <xdr:spPr>
            <a:xfrm>
              <a:off x="3603948" y="32379168"/>
              <a:ext cx="592533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(𝑚_𝐵)</a:t>
              </a:r>
              <a:endParaRPr lang="es-CO">
                <a:effectLst/>
              </a:endParaRPr>
            </a:p>
          </xdr:txBody>
        </xdr:sp>
      </mc:Fallback>
    </mc:AlternateContent>
    <xdr:clientData/>
  </xdr:oneCellAnchor>
  <xdr:oneCellAnchor>
    <xdr:from>
      <xdr:col>3</xdr:col>
      <xdr:colOff>781433</xdr:colOff>
      <xdr:row>92</xdr:row>
      <xdr:rowOff>116632</xdr:rowOff>
    </xdr:from>
    <xdr:ext cx="596189" cy="18562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" name="CuadroTexto 40">
              <a:extLst>
                <a:ext uri="{FF2B5EF4-FFF2-40B4-BE49-F238E27FC236}">
                  <a16:creationId xmlns:a16="http://schemas.microsoft.com/office/drawing/2014/main" id="{00000000-0008-0000-0100-000029000000}"/>
                </a:ext>
              </a:extLst>
            </xdr:cNvPr>
            <xdr:cNvSpPr txBox="1"/>
          </xdr:nvSpPr>
          <xdr:spPr>
            <a:xfrm>
              <a:off x="3570897" y="32773775"/>
              <a:ext cx="596189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𝐷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s-CO">
                <a:effectLst/>
              </a:endParaRPr>
            </a:p>
          </xdr:txBody>
        </xdr:sp>
      </mc:Choice>
      <mc:Fallback xmlns="">
        <xdr:sp macro="" textlink="">
          <xdr:nvSpPr>
            <xdr:cNvPr id="41" name="CuadroTexto 40"/>
            <xdr:cNvSpPr txBox="1"/>
          </xdr:nvSpPr>
          <xdr:spPr>
            <a:xfrm>
              <a:off x="3570897" y="32773775"/>
              <a:ext cx="596189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(𝑚_𝐷)</a:t>
              </a:r>
              <a:endParaRPr lang="es-CO">
                <a:effectLst/>
              </a:endParaRPr>
            </a:p>
          </xdr:txBody>
        </xdr:sp>
      </mc:Fallback>
    </mc:AlternateContent>
    <xdr:clientData/>
  </xdr:oneCellAnchor>
  <xdr:oneCellAnchor>
    <xdr:from>
      <xdr:col>3</xdr:col>
      <xdr:colOff>523875</xdr:colOff>
      <xdr:row>86</xdr:row>
      <xdr:rowOff>95250</xdr:rowOff>
    </xdr:from>
    <xdr:ext cx="1267335" cy="1831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CuadroTexto 41">
              <a:extLst>
                <a:ext uri="{FF2B5EF4-FFF2-40B4-BE49-F238E27FC236}">
                  <a16:creationId xmlns:a16="http://schemas.microsoft.com/office/drawing/2014/main" id="{00000000-0008-0000-0100-00002A000000}"/>
                </a:ext>
              </a:extLst>
            </xdr:cNvPr>
            <xdr:cNvSpPr txBox="1"/>
          </xdr:nvSpPr>
          <xdr:spPr>
            <a:xfrm>
              <a:off x="3314700" y="29927550"/>
              <a:ext cx="1267335" cy="1831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d>
                      <m:dPr>
                        <m:ctrlP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𝑟𝑒𝑝</m:t>
                        </m:r>
                      </m:e>
                    </m:d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𝑛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−1   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2" name="CuadroTexto 41"/>
            <xdr:cNvSpPr txBox="1"/>
          </xdr:nvSpPr>
          <xdr:spPr>
            <a:xfrm>
              <a:off x="3314700" y="29927550"/>
              <a:ext cx="1267335" cy="1831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(𝑟𝑒𝑝)=𝑛 −1   </a:t>
              </a:r>
              <a:endParaRPr lang="es-CO" sz="1100"/>
            </a:p>
          </xdr:txBody>
        </xdr:sp>
      </mc:Fallback>
    </mc:AlternateContent>
    <xdr:clientData/>
  </xdr:oneCellAnchor>
  <xdr:twoCellAnchor>
    <xdr:from>
      <xdr:col>0</xdr:col>
      <xdr:colOff>95251</xdr:colOff>
      <xdr:row>122</xdr:row>
      <xdr:rowOff>67235</xdr:rowOff>
    </xdr:from>
    <xdr:to>
      <xdr:col>8</xdr:col>
      <xdr:colOff>974913</xdr:colOff>
      <xdr:row>129</xdr:row>
      <xdr:rowOff>425823</xdr:rowOff>
    </xdr:to>
    <xdr:graphicFrame macro="">
      <xdr:nvGraphicFramePr>
        <xdr:cNvPr id="43" name="Gráfico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557894</xdr:colOff>
      <xdr:row>32</xdr:row>
      <xdr:rowOff>273150</xdr:rowOff>
    </xdr:from>
    <xdr:to>
      <xdr:col>11</xdr:col>
      <xdr:colOff>642738</xdr:colOff>
      <xdr:row>37</xdr:row>
      <xdr:rowOff>217712</xdr:rowOff>
    </xdr:to>
    <xdr:pic>
      <xdr:nvPicPr>
        <xdr:cNvPr id="44" name="Imagen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8394" y="11961686"/>
          <a:ext cx="4547987" cy="2121705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304800</xdr:colOff>
      <xdr:row>58</xdr:row>
      <xdr:rowOff>95983</xdr:rowOff>
    </xdr:from>
    <xdr:ext cx="65" cy="172227"/>
    <xdr:sp macro="" textlink="">
      <xdr:nvSpPr>
        <xdr:cNvPr id="51" name="CuadroTexto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1066800" y="182000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304800</xdr:colOff>
      <xdr:row>58</xdr:row>
      <xdr:rowOff>95983</xdr:rowOff>
    </xdr:from>
    <xdr:ext cx="65" cy="172227"/>
    <xdr:sp macro="" textlink="">
      <xdr:nvSpPr>
        <xdr:cNvPr id="52" name="CuadroTexto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1066800" y="182000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3</xdr:col>
      <xdr:colOff>462643</xdr:colOff>
      <xdr:row>53</xdr:row>
      <xdr:rowOff>136073</xdr:rowOff>
    </xdr:from>
    <xdr:ext cx="381000" cy="1632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3" name="CuadroTexto 52">
              <a:extLst>
                <a:ext uri="{FF2B5EF4-FFF2-40B4-BE49-F238E27FC236}">
                  <a16:creationId xmlns:a16="http://schemas.microsoft.com/office/drawing/2014/main" id="{00000000-0008-0000-0100-000035000000}"/>
                </a:ext>
              </a:extLst>
            </xdr:cNvPr>
            <xdr:cNvSpPr txBox="1"/>
          </xdr:nvSpPr>
          <xdr:spPr>
            <a:xfrm>
              <a:off x="3252107" y="18383252"/>
              <a:ext cx="381000" cy="1632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CO" sz="1100" b="0" i="0">
                  <a:latin typeface="+mn-lt"/>
                </a:rPr>
                <a:t>     </a:t>
              </a:r>
              <a14:m>
                <m:oMath xmlns:m="http://schemas.openxmlformats.org/officeDocument/2006/math">
                  <m:r>
                    <a:rPr lang="es-CO" sz="1100" b="0" i="0" baseline="0">
                      <a:latin typeface="Cambria Math" panose="02040503050406030204" pitchFamily="18" charset="0"/>
                    </a:rPr>
                    <m:t>𝛪</m:t>
                  </m:r>
                  <m:r>
                    <a:rPr lang="es-CO" sz="1100" b="0" i="1" baseline="0">
                      <a:latin typeface="Cambria Math" panose="02040503050406030204" pitchFamily="18" charset="0"/>
                    </a:rPr>
                    <m:t> </m:t>
                  </m:r>
                  <m:r>
                    <a:rPr lang="es-CO" sz="1100" b="0" i="1">
                      <a:latin typeface="Cambria Math" panose="02040503050406030204" pitchFamily="18" charset="0"/>
                    </a:rPr>
                    <m:t>𝑔</m:t>
                  </m:r>
                </m:oMath>
              </a14:m>
              <a:endParaRPr lang="es-CO" sz="1100"/>
            </a:p>
          </xdr:txBody>
        </xdr:sp>
      </mc:Choice>
      <mc:Fallback xmlns="">
        <xdr:sp macro="" textlink="">
          <xdr:nvSpPr>
            <xdr:cNvPr id="53" name="CuadroTexto 52"/>
            <xdr:cNvSpPr txBox="1"/>
          </xdr:nvSpPr>
          <xdr:spPr>
            <a:xfrm>
              <a:off x="3252107" y="18383252"/>
              <a:ext cx="381000" cy="1632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100" b="0" i="0">
                  <a:latin typeface="+mn-lt"/>
                </a:rPr>
                <a:t>     </a:t>
              </a:r>
              <a:r>
                <a:rPr lang="es-CO" sz="1100" b="0" i="0" baseline="0">
                  <a:latin typeface="Cambria Math" panose="02040503050406030204" pitchFamily="18" charset="0"/>
                </a:rPr>
                <a:t>𝛪 </a:t>
              </a:r>
              <a:r>
                <a:rPr lang="es-CO" sz="1100" b="0" i="0">
                  <a:latin typeface="Cambria Math" panose="02040503050406030204" pitchFamily="18" charset="0"/>
                </a:rPr>
                <a:t>𝑔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4</xdr:col>
      <xdr:colOff>462642</xdr:colOff>
      <xdr:row>53</xdr:row>
      <xdr:rowOff>122464</xdr:rowOff>
    </xdr:from>
    <xdr:ext cx="381000" cy="1632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8" name="CuadroTexto 57">
              <a:extLst>
                <a:ext uri="{FF2B5EF4-FFF2-40B4-BE49-F238E27FC236}">
                  <a16:creationId xmlns:a16="http://schemas.microsoft.com/office/drawing/2014/main" id="{00000000-0008-0000-0100-00003A000000}"/>
                </a:ext>
              </a:extLst>
            </xdr:cNvPr>
            <xdr:cNvSpPr txBox="1"/>
          </xdr:nvSpPr>
          <xdr:spPr>
            <a:xfrm>
              <a:off x="4136571" y="18369643"/>
              <a:ext cx="381000" cy="1632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CO" sz="1100" b="0" i="0">
                  <a:latin typeface="+mn-lt"/>
                </a:rPr>
                <a:t>   </a:t>
              </a:r>
              <a14:m>
                <m:oMath xmlns:m="http://schemas.openxmlformats.org/officeDocument/2006/math">
                  <m:r>
                    <a:rPr lang="es-CO" sz="1100" b="0" i="0" baseline="0">
                      <a:latin typeface="Cambria Math" panose="02040503050406030204" pitchFamily="18" charset="0"/>
                    </a:rPr>
                    <m:t>𝛪</m:t>
                  </m:r>
                  <m:r>
                    <a:rPr lang="es-CO" sz="1100" b="0" i="1">
                      <a:latin typeface="Cambria Math" panose="02040503050406030204" pitchFamily="18" charset="0"/>
                    </a:rPr>
                    <m:t>𝑚𝑔</m:t>
                  </m:r>
                </m:oMath>
              </a14:m>
              <a:endParaRPr lang="es-CO" sz="1100"/>
            </a:p>
          </xdr:txBody>
        </xdr:sp>
      </mc:Choice>
      <mc:Fallback xmlns="">
        <xdr:sp macro="" textlink="">
          <xdr:nvSpPr>
            <xdr:cNvPr id="58" name="CuadroTexto 57"/>
            <xdr:cNvSpPr txBox="1"/>
          </xdr:nvSpPr>
          <xdr:spPr>
            <a:xfrm>
              <a:off x="4136571" y="18369643"/>
              <a:ext cx="381000" cy="1632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100" b="0" i="0">
                  <a:latin typeface="+mn-lt"/>
                </a:rPr>
                <a:t>   </a:t>
              </a:r>
              <a:r>
                <a:rPr lang="es-CO" sz="1100" b="0" i="0" baseline="0">
                  <a:latin typeface="Cambria Math" panose="02040503050406030204" pitchFamily="18" charset="0"/>
                </a:rPr>
                <a:t>𝛪</a:t>
              </a:r>
              <a:r>
                <a:rPr lang="es-CO" sz="1100" b="0" i="0">
                  <a:latin typeface="Cambria Math" panose="02040503050406030204" pitchFamily="18" charset="0"/>
                </a:rPr>
                <a:t>𝑚𝑔</a:t>
              </a:r>
              <a:endParaRPr lang="es-CO" sz="1100"/>
            </a:p>
          </xdr:txBody>
        </xdr:sp>
      </mc:Fallback>
    </mc:AlternateContent>
    <xdr:clientData/>
  </xdr:oneCellAnchor>
  <xdr:twoCellAnchor>
    <xdr:from>
      <xdr:col>0</xdr:col>
      <xdr:colOff>133350</xdr:colOff>
      <xdr:row>0</xdr:row>
      <xdr:rowOff>171450</xdr:rowOff>
    </xdr:from>
    <xdr:to>
      <xdr:col>1</xdr:col>
      <xdr:colOff>1009650</xdr:colOff>
      <xdr:row>2</xdr:row>
      <xdr:rowOff>272895</xdr:rowOff>
    </xdr:to>
    <xdr:pic>
      <xdr:nvPicPr>
        <xdr:cNvPr id="50" name="Picture 1" descr="\\Abeltran\publico\Logo completo.gif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r:link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71450"/>
          <a:ext cx="1990725" cy="977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99331</xdr:colOff>
      <xdr:row>160</xdr:row>
      <xdr:rowOff>114301</xdr:rowOff>
    </xdr:from>
    <xdr:ext cx="952501" cy="6762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" name="CuadroTexto 48">
              <a:extLst>
                <a:ext uri="{FF2B5EF4-FFF2-40B4-BE49-F238E27FC236}">
                  <a16:creationId xmlns:a16="http://schemas.microsoft.com/office/drawing/2014/main" id="{00000000-0008-0000-0100-000031000000}"/>
                </a:ext>
              </a:extLst>
            </xdr:cNvPr>
            <xdr:cNvSpPr txBox="1"/>
          </xdr:nvSpPr>
          <xdr:spPr>
            <a:xfrm>
              <a:off x="3442606" y="59378851"/>
              <a:ext cx="952501" cy="676275"/>
            </a:xfrm>
            <a:prstGeom prst="rect">
              <a:avLst/>
            </a:prstGeom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CO" sz="2400"/>
                <a:t>F = </a:t>
              </a:r>
              <a14:m>
                <m:oMath xmlns:m="http://schemas.openxmlformats.org/officeDocument/2006/math">
                  <m:f>
                    <m:fPr>
                      <m:ctrlPr>
                        <a:rPr lang="es-CO" sz="24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sSubSup>
                        <m:sSubSupPr>
                          <m:ctrlPr>
                            <a:rPr lang="es-CO" sz="2400" i="1">
                              <a:latin typeface="Cambria Math" panose="02040503050406030204" pitchFamily="18" charset="0"/>
                            </a:rPr>
                          </m:ctrlPr>
                        </m:sSubSupPr>
                        <m:e>
                          <m:r>
                            <a:rPr lang="es-CO" sz="2400" b="0" i="1">
                              <a:latin typeface="Cambria Math" panose="02040503050406030204" pitchFamily="18" charset="0"/>
                            </a:rPr>
                            <m:t>𝑆</m:t>
                          </m:r>
                        </m:e>
                        <m:sub>
                          <m:r>
                            <a:rPr lang="es-CO" sz="2400" b="0" i="1">
                              <a:latin typeface="Cambria Math" panose="02040503050406030204" pitchFamily="18" charset="0"/>
                            </a:rPr>
                            <m:t>𝑛𝑒𝑤</m:t>
                          </m:r>
                        </m:sub>
                        <m:sup>
                          <m:r>
                            <a:rPr lang="es-CO" sz="2400" b="0" i="1">
                              <a:latin typeface="Cambria Math" panose="02040503050406030204" pitchFamily="18" charset="0"/>
                            </a:rPr>
                            <m:t>2</m:t>
                          </m:r>
                        </m:sup>
                      </m:sSubSup>
                    </m:num>
                    <m:den>
                      <m:sSubSup>
                        <m:sSubSupPr>
                          <m:ctrlPr>
                            <a:rPr lang="es-CO" sz="24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SupPr>
                        <m:e>
                          <m:r>
                            <a:rPr lang="es-CO" sz="24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𝑆</m:t>
                          </m:r>
                        </m:e>
                        <m:sub>
                          <m:r>
                            <a:rPr lang="es-CO" sz="24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𝑝</m:t>
                          </m:r>
                        </m:sub>
                        <m:sup>
                          <m:r>
                            <a:rPr lang="es-CO" sz="24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2</m:t>
                          </m:r>
                        </m:sup>
                      </m:sSubSup>
                    </m:den>
                  </m:f>
                </m:oMath>
              </a14:m>
              <a:endParaRPr lang="es-CO" sz="1200"/>
            </a:p>
          </xdr:txBody>
        </xdr:sp>
      </mc:Choice>
      <mc:Fallback xmlns="">
        <xdr:sp macro="" textlink="">
          <xdr:nvSpPr>
            <xdr:cNvPr id="49" name="CuadroTexto 48"/>
            <xdr:cNvSpPr txBox="1"/>
          </xdr:nvSpPr>
          <xdr:spPr>
            <a:xfrm>
              <a:off x="3442606" y="59378851"/>
              <a:ext cx="952501" cy="676275"/>
            </a:xfrm>
            <a:prstGeom prst="rect">
              <a:avLst/>
            </a:prstGeom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CO" sz="2400"/>
                <a:t>F = </a:t>
              </a:r>
              <a:r>
                <a:rPr lang="es-CO" sz="2400" i="0">
                  <a:latin typeface="Cambria Math" panose="02040503050406030204" pitchFamily="18" charset="0"/>
                </a:rPr>
                <a:t>(</a:t>
              </a:r>
              <a:r>
                <a:rPr lang="es-CO" sz="2400" b="0" i="0">
                  <a:latin typeface="Cambria Math" panose="02040503050406030204" pitchFamily="18" charset="0"/>
                </a:rPr>
                <a:t>𝑆_𝑛𝑒𝑤^2)/(</a:t>
              </a:r>
              <a:r>
                <a:rPr lang="es-CO" sz="2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𝑆_𝑝^2 )</a:t>
              </a:r>
              <a:endParaRPr lang="es-CO" sz="1200"/>
            </a:p>
          </xdr:txBody>
        </xdr:sp>
      </mc:Fallback>
    </mc:AlternateContent>
    <xdr:clientData/>
  </xdr:oneCellAnchor>
  <xdr:oneCellAnchor>
    <xdr:from>
      <xdr:col>4</xdr:col>
      <xdr:colOff>431347</xdr:colOff>
      <xdr:row>147</xdr:row>
      <xdr:rowOff>142195</xdr:rowOff>
    </xdr:from>
    <xdr:ext cx="2461165" cy="90935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4" name="CuadroTexto 53">
              <a:extLst>
                <a:ext uri="{FF2B5EF4-FFF2-40B4-BE49-F238E27FC236}">
                  <a16:creationId xmlns:a16="http://schemas.microsoft.com/office/drawing/2014/main" id="{00000000-0008-0000-0100-000036000000}"/>
                </a:ext>
              </a:extLst>
            </xdr:cNvPr>
            <xdr:cNvSpPr txBox="1"/>
          </xdr:nvSpPr>
          <xdr:spPr>
            <a:xfrm>
              <a:off x="4889047" y="53710795"/>
              <a:ext cx="2461165" cy="909352"/>
            </a:xfrm>
            <a:prstGeom prst="rect">
              <a:avLst/>
            </a:prstGeom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20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2000" b="0" i="1">
                            <a:latin typeface="Cambria Math" panose="02040503050406030204" pitchFamily="18" charset="0"/>
                          </a:rPr>
                          <m:t>𝑆</m:t>
                        </m:r>
                      </m:e>
                      <m:sub>
                        <m:r>
                          <a:rPr lang="es-CO" sz="2000" b="0" i="1">
                            <a:latin typeface="Cambria Math" panose="02040503050406030204" pitchFamily="18" charset="0"/>
                          </a:rPr>
                          <m:t>𝑝</m:t>
                        </m:r>
                      </m:sub>
                    </m:sSub>
                    <m:r>
                      <a:rPr lang="es-CO" sz="2000" b="0" i="1">
                        <a:latin typeface="Cambria Math" panose="02040503050406030204" pitchFamily="18" charset="0"/>
                      </a:rPr>
                      <m:t>=</m:t>
                    </m:r>
                    <m:rad>
                      <m:radPr>
                        <m:degHide m:val="on"/>
                        <m:ctrlPr>
                          <a:rPr lang="es-CO" sz="200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f>
                          <m:fPr>
                            <m:ctrlPr>
                              <a:rPr lang="es-CO" sz="200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s-CO" sz="2000" b="0" i="1">
                                <a:latin typeface="Cambria Math" panose="02040503050406030204" pitchFamily="18" charset="0"/>
                              </a:rPr>
                              <m:t>1</m:t>
                            </m:r>
                          </m:num>
                          <m:den>
                            <m:r>
                              <a:rPr lang="es-CO" sz="2000" b="0" i="1">
                                <a:latin typeface="Cambria Math" panose="02040503050406030204" pitchFamily="18" charset="0"/>
                              </a:rPr>
                              <m:t>𝑚</m:t>
                            </m:r>
                          </m:den>
                        </m:f>
                        <m:nary>
                          <m:naryPr>
                            <m:chr m:val="∑"/>
                            <m:subHide m:val="on"/>
                            <m:supHide m:val="on"/>
                            <m:ctrlPr>
                              <a:rPr lang="es-CO" sz="2000" i="1">
                                <a:latin typeface="Cambria Math" panose="02040503050406030204" pitchFamily="18" charset="0"/>
                              </a:rPr>
                            </m:ctrlPr>
                          </m:naryPr>
                          <m:sub/>
                          <m:sup/>
                          <m:e>
                            <m:sSubSup>
                              <m:sSubSupPr>
                                <m:ctrlPr>
                                  <a:rPr lang="es-CO" sz="2000" i="1">
                                    <a:latin typeface="Cambria Math" panose="02040503050406030204" pitchFamily="18" charset="0"/>
                                  </a:rPr>
                                </m:ctrlPr>
                              </m:sSubSupPr>
                              <m:e>
                                <m:r>
                                  <a:rPr lang="es-CO" sz="2000" b="0" i="1">
                                    <a:latin typeface="Cambria Math" panose="02040503050406030204" pitchFamily="18" charset="0"/>
                                  </a:rPr>
                                  <m:t>𝑆</m:t>
                                </m:r>
                              </m:e>
                              <m:sub>
                                <m:r>
                                  <a:rPr lang="es-CO" sz="2000" b="0" i="1">
                                    <a:latin typeface="Cambria Math" panose="02040503050406030204" pitchFamily="18" charset="0"/>
                                  </a:rPr>
                                  <m:t>𝑖</m:t>
                                </m:r>
                              </m:sub>
                              <m:sup>
                                <m:r>
                                  <a:rPr lang="es-CO" sz="2000" b="0" i="1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sup>
                            </m:sSubSup>
                          </m:e>
                        </m:nary>
                      </m:e>
                    </m:rad>
                  </m:oMath>
                </m:oMathPara>
              </a14:m>
              <a:endParaRPr lang="es-CO" sz="2400"/>
            </a:p>
          </xdr:txBody>
        </xdr:sp>
      </mc:Choice>
      <mc:Fallback xmlns="">
        <xdr:sp macro="" textlink="">
          <xdr:nvSpPr>
            <xdr:cNvPr id="54" name="CuadroTexto 53"/>
            <xdr:cNvSpPr txBox="1"/>
          </xdr:nvSpPr>
          <xdr:spPr>
            <a:xfrm>
              <a:off x="4889047" y="53710795"/>
              <a:ext cx="2461165" cy="909352"/>
            </a:xfrm>
            <a:prstGeom prst="rect">
              <a:avLst/>
            </a:prstGeom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2000" b="0" i="0">
                  <a:latin typeface="Cambria Math" panose="02040503050406030204" pitchFamily="18" charset="0"/>
                </a:rPr>
                <a:t>𝑆_𝑝=</a:t>
              </a:r>
              <a:r>
                <a:rPr lang="es-CO" sz="2000" i="0">
                  <a:latin typeface="Cambria Math" panose="02040503050406030204" pitchFamily="18" charset="0"/>
                </a:rPr>
                <a:t>√(</a:t>
              </a:r>
              <a:r>
                <a:rPr lang="es-CO" sz="2000" b="0" i="0">
                  <a:latin typeface="Cambria Math" panose="02040503050406030204" pitchFamily="18" charset="0"/>
                </a:rPr>
                <a:t>1/𝑚 ∑▒𝑆_𝑖^2 )</a:t>
              </a:r>
              <a:endParaRPr lang="es-CO" sz="2400"/>
            </a:p>
          </xdr:txBody>
        </xdr:sp>
      </mc:Fallback>
    </mc:AlternateContent>
    <xdr:clientData/>
  </xdr:oneCellAnchor>
  <xdr:twoCellAnchor>
    <xdr:from>
      <xdr:col>7</xdr:col>
      <xdr:colOff>281667</xdr:colOff>
      <xdr:row>154</xdr:row>
      <xdr:rowOff>352425</xdr:rowOff>
    </xdr:from>
    <xdr:to>
      <xdr:col>11</xdr:col>
      <xdr:colOff>802821</xdr:colOff>
      <xdr:row>161</xdr:row>
      <xdr:rowOff>244929</xdr:rowOff>
    </xdr:to>
    <xdr:graphicFrame macro="">
      <xdr:nvGraphicFramePr>
        <xdr:cNvPr id="55" name="Gráfico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1</xdr:col>
      <xdr:colOff>256442</xdr:colOff>
      <xdr:row>59</xdr:row>
      <xdr:rowOff>117231</xdr:rowOff>
    </xdr:from>
    <xdr:ext cx="65" cy="172227"/>
    <xdr:sp macro="" textlink="">
      <xdr:nvSpPr>
        <xdr:cNvPr id="56" name="CuadroTexto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1370867" y="2509178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3</xdr:col>
      <xdr:colOff>820371</xdr:colOff>
      <xdr:row>103</xdr:row>
      <xdr:rowOff>76200</xdr:rowOff>
    </xdr:from>
    <xdr:ext cx="1198929" cy="30100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7" name="CuadroTexto 56">
              <a:extLst>
                <a:ext uri="{FF2B5EF4-FFF2-40B4-BE49-F238E27FC236}">
                  <a16:creationId xmlns:a16="http://schemas.microsoft.com/office/drawing/2014/main" id="{00000000-0008-0000-0100-000039000000}"/>
                </a:ext>
              </a:extLst>
            </xdr:cNvPr>
            <xdr:cNvSpPr txBox="1"/>
          </xdr:nvSpPr>
          <xdr:spPr>
            <a:xfrm>
              <a:off x="4163107" y="42112002"/>
              <a:ext cx="1198929" cy="3010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 xmlns:m="http://schemas.openxmlformats.org/officeDocument/2006/math"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𝑈</m:t>
                  </m:r>
                  <m:r>
                    <a:rPr lang="es-CO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(</m:t>
                  </m:r>
                  <m:r>
                    <a:rPr lang="es-CO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𝐸</m:t>
                  </m:r>
                  <m:r>
                    <a:rPr lang="es-CO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)</m:t>
                  </m:r>
                </m:oMath>
              </a14:m>
              <a:r>
                <a:rPr lang="es-CO" sz="110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14:m>
                <m:oMath xmlns:m="http://schemas.openxmlformats.org/officeDocument/2006/math"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 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𝑢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(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𝐸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)∗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𝑘</m:t>
                  </m:r>
                </m:oMath>
              </a14:m>
              <a:endParaRPr lang="es-CO" sz="11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57" name="CuadroTexto 56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0100-000013000000}"/>
                </a:ext>
              </a:extLst>
            </xdr:cNvPr>
            <xdr:cNvSpPr txBox="1"/>
          </xdr:nvSpPr>
          <xdr:spPr>
            <a:xfrm>
              <a:off x="4163107" y="42112002"/>
              <a:ext cx="1198929" cy="3010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ES" sz="110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𝑈</a:t>
              </a:r>
              <a:r>
                <a:rPr lang="es-CO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(𝐸)</a:t>
              </a:r>
              <a:r>
                <a:rPr lang="es-CO" sz="110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s-ES" sz="110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 𝑢(𝐸)∗𝑘</a:t>
              </a:r>
              <a:endParaRPr lang="es-CO" sz="11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4</xdr:col>
      <xdr:colOff>1060330</xdr:colOff>
      <xdr:row>103</xdr:row>
      <xdr:rowOff>35944</xdr:rowOff>
    </xdr:from>
    <xdr:ext cx="278561" cy="30100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9" name="CuadroTexto 58">
              <a:extLst>
                <a:ext uri="{FF2B5EF4-FFF2-40B4-BE49-F238E27FC236}">
                  <a16:creationId xmlns:a16="http://schemas.microsoft.com/office/drawing/2014/main" id="{00000000-0008-0000-0100-00003B000000}"/>
                </a:ext>
              </a:extLst>
            </xdr:cNvPr>
            <xdr:cNvSpPr txBox="1"/>
          </xdr:nvSpPr>
          <xdr:spPr>
            <a:xfrm>
              <a:off x="5517311" y="42512052"/>
              <a:ext cx="278561" cy="3010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solidFill>
                          <a:schemeClr val="bg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𝑔</m:t>
                    </m:r>
                  </m:oMath>
                </m:oMathPara>
              </a14:m>
              <a:endParaRPr lang="es-CO" sz="11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59" name="CuadroTexto 58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0100-000013000000}"/>
                </a:ext>
              </a:extLst>
            </xdr:cNvPr>
            <xdr:cNvSpPr txBox="1"/>
          </xdr:nvSpPr>
          <xdr:spPr>
            <a:xfrm>
              <a:off x="5517311" y="42512052"/>
              <a:ext cx="278561" cy="3010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𝑔</a:t>
              </a:r>
              <a:endParaRPr lang="es-CO" sz="11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twoCellAnchor>
    <xdr:from>
      <xdr:col>4</xdr:col>
      <xdr:colOff>26958</xdr:colOff>
      <xdr:row>63</xdr:row>
      <xdr:rowOff>17972</xdr:rowOff>
    </xdr:from>
    <xdr:to>
      <xdr:col>4</xdr:col>
      <xdr:colOff>1275991</xdr:colOff>
      <xdr:row>63</xdr:row>
      <xdr:rowOff>413350</xdr:rowOff>
    </xdr:to>
    <xdr:cxnSp macro="">
      <xdr:nvCxnSpPr>
        <xdr:cNvPr id="45" name="Conector recto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CxnSpPr/>
      </xdr:nvCxnSpPr>
      <xdr:spPr>
        <a:xfrm flipV="1">
          <a:off x="4483939" y="26148821"/>
          <a:ext cx="1249033" cy="39537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63</xdr:row>
      <xdr:rowOff>26958</xdr:rowOff>
    </xdr:from>
    <xdr:to>
      <xdr:col>6</xdr:col>
      <xdr:colOff>1105260</xdr:colOff>
      <xdr:row>63</xdr:row>
      <xdr:rowOff>386392</xdr:rowOff>
    </xdr:to>
    <xdr:cxnSp macro="">
      <xdr:nvCxnSpPr>
        <xdr:cNvPr id="60" name="Conector recto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CxnSpPr/>
      </xdr:nvCxnSpPr>
      <xdr:spPr>
        <a:xfrm flipV="1">
          <a:off x="6901132" y="26157807"/>
          <a:ext cx="1105260" cy="35943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63</xdr:row>
      <xdr:rowOff>26958</xdr:rowOff>
    </xdr:from>
    <xdr:to>
      <xdr:col>9</xdr:col>
      <xdr:colOff>8986</xdr:colOff>
      <xdr:row>63</xdr:row>
      <xdr:rowOff>386392</xdr:rowOff>
    </xdr:to>
    <xdr:cxnSp macro="">
      <xdr:nvCxnSpPr>
        <xdr:cNvPr id="61" name="Conector recto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CxnSpPr/>
      </xdr:nvCxnSpPr>
      <xdr:spPr>
        <a:xfrm flipV="1">
          <a:off x="9129623" y="26157807"/>
          <a:ext cx="1123231" cy="35943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1114245</xdr:colOff>
      <xdr:row>31</xdr:row>
      <xdr:rowOff>44929</xdr:rowOff>
    </xdr:from>
    <xdr:to>
      <xdr:col>11</xdr:col>
      <xdr:colOff>1078302</xdr:colOff>
      <xdr:row>31</xdr:row>
      <xdr:rowOff>386392</xdr:rowOff>
    </xdr:to>
    <xdr:cxnSp macro="">
      <xdr:nvCxnSpPr>
        <xdr:cNvPr id="62" name="Conector recto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CxnSpPr/>
      </xdr:nvCxnSpPr>
      <xdr:spPr>
        <a:xfrm flipV="1">
          <a:off x="12472358" y="13020495"/>
          <a:ext cx="1078302" cy="3414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198560</xdr:colOff>
      <xdr:row>70</xdr:row>
      <xdr:rowOff>116498</xdr:rowOff>
    </xdr:from>
    <xdr:to>
      <xdr:col>5</xdr:col>
      <xdr:colOff>609376</xdr:colOff>
      <xdr:row>75</xdr:row>
      <xdr:rowOff>112481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3002" y="16308998"/>
          <a:ext cx="2397370" cy="1182912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257174</xdr:colOff>
      <xdr:row>156</xdr:row>
      <xdr:rowOff>133350</xdr:rowOff>
    </xdr:from>
    <xdr:ext cx="295275" cy="37568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257174" y="36947475"/>
          <a:ext cx="295275" cy="375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s-CO" sz="2400"/>
        </a:p>
      </xdr:txBody>
    </xdr:sp>
    <xdr:clientData/>
  </xdr:oneCellAnchor>
  <xdr:twoCellAnchor>
    <xdr:from>
      <xdr:col>0</xdr:col>
      <xdr:colOff>198785</xdr:colOff>
      <xdr:row>121</xdr:row>
      <xdr:rowOff>157368</xdr:rowOff>
    </xdr:from>
    <xdr:to>
      <xdr:col>5</xdr:col>
      <xdr:colOff>704024</xdr:colOff>
      <xdr:row>137</xdr:row>
      <xdr:rowOff>157369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</xdr:col>
      <xdr:colOff>304800</xdr:colOff>
      <xdr:row>184</xdr:row>
      <xdr:rowOff>95983</xdr:rowOff>
    </xdr:from>
    <xdr:ext cx="65" cy="172227"/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1066800" y="182000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304800</xdr:colOff>
      <xdr:row>184</xdr:row>
      <xdr:rowOff>95983</xdr:rowOff>
    </xdr:from>
    <xdr:ext cx="65" cy="172227"/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1066800" y="182000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0</xdr:col>
      <xdr:colOff>223009</xdr:colOff>
      <xdr:row>156</xdr:row>
      <xdr:rowOff>37892</xdr:rowOff>
    </xdr:from>
    <xdr:ext cx="2243138" cy="2644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id="{00000000-0008-0000-0200-000009000000}"/>
                </a:ext>
              </a:extLst>
            </xdr:cNvPr>
            <xdr:cNvSpPr txBox="1"/>
          </xdr:nvSpPr>
          <xdr:spPr>
            <a:xfrm>
              <a:off x="223009" y="30708392"/>
              <a:ext cx="2243138" cy="2644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400" b="1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u</a:t>
              </a:r>
              <a14:m>
                <m:oMath xmlns:m="http://schemas.openxmlformats.org/officeDocument/2006/math">
                  <m:d>
                    <m:dPr>
                      <m:ctrlPr>
                        <a:rPr lang="es-CO" sz="140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p>
                        <m:sSupPr>
                          <m:ctrlPr>
                            <a:rPr lang="es-CO" sz="14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r>
                            <a:rPr lang="es-CO" sz="14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𝑾</m:t>
                          </m:r>
                        </m:e>
                        <m:sup>
                          <m:r>
                            <a:rPr lang="es-CO" sz="14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∗</m:t>
                          </m:r>
                        </m:sup>
                      </m:sSup>
                    </m:e>
                  </m:d>
                  <m:r>
                    <a:rPr lang="es-CO" sz="1400" b="1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+</m:t>
                  </m:r>
                  <m:r>
                    <a:rPr lang="es-CO" sz="1400" b="1" i="1">
                      <a:latin typeface="Cambria Math" panose="02040503050406030204" pitchFamily="18" charset="0"/>
                    </a:rPr>
                    <m:t>=</m:t>
                  </m:r>
                  <m:rad>
                    <m:radPr>
                      <m:degHide m:val="on"/>
                      <m:ctrlPr>
                        <a:rPr lang="es-CO" sz="1400" b="1" i="1">
                          <a:latin typeface="Cambria Math" panose="02040503050406030204" pitchFamily="18" charset="0"/>
                        </a:rPr>
                      </m:ctrlPr>
                    </m:radPr>
                    <m:deg/>
                    <m:e>
                      <m:sSup>
                        <m:sSupPr>
                          <m:ctrlPr>
                            <a:rPr lang="es-CO" sz="1400" b="1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𝒖</m:t>
                          </m:r>
                        </m:e>
                        <m:sup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𝟐</m:t>
                          </m:r>
                        </m:sup>
                      </m:sSup>
                      <m:d>
                        <m:dPr>
                          <m:ctrlPr>
                            <a:rPr lang="es-CO" sz="1400" b="1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𝑬</m:t>
                          </m:r>
                        </m:e>
                      </m:d>
                      <m:r>
                        <a:rPr lang="es-CO" sz="1400" b="1" i="1">
                          <a:latin typeface="Cambria Math" panose="02040503050406030204" pitchFamily="18" charset="0"/>
                        </a:rPr>
                        <m:t>+</m:t>
                      </m:r>
                      <m:sSup>
                        <m:sSupPr>
                          <m:ctrlPr>
                            <a:rPr lang="es-CO" sz="1400" b="1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𝒖</m:t>
                          </m:r>
                        </m:e>
                        <m:sup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𝟐</m:t>
                          </m:r>
                        </m:sup>
                      </m:sSup>
                      <m:d>
                        <m:dPr>
                          <m:ctrlPr>
                            <a:rPr lang="es-CO" sz="1400" b="1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𝑹</m:t>
                          </m:r>
                        </m:e>
                      </m:d>
                    </m:e>
                  </m:rad>
                </m:oMath>
              </a14:m>
              <a:endParaRPr lang="es-CO" sz="1400" b="1" i="1"/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223009" y="30708392"/>
              <a:ext cx="2243138" cy="2644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400" b="1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u</a:t>
              </a:r>
              <a:r>
                <a:rPr lang="es-CO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(𝑾^∗ )+</a:t>
              </a:r>
              <a:r>
                <a:rPr lang="es-CO" sz="1400" b="1" i="0">
                  <a:latin typeface="Cambria Math" panose="02040503050406030204" pitchFamily="18" charset="0"/>
                </a:rPr>
                <a:t>=√(𝒖^𝟐 (𝑬)+𝒖^𝟐 (𝑹) )</a:t>
              </a:r>
              <a:endParaRPr lang="es-CO" sz="1400" b="1" i="1"/>
            </a:p>
          </xdr:txBody>
        </xdr:sp>
      </mc:Fallback>
    </mc:AlternateContent>
    <xdr:clientData/>
  </xdr:oneCellAnchor>
  <xdr:oneCellAnchor>
    <xdr:from>
      <xdr:col>3</xdr:col>
      <xdr:colOff>3728</xdr:colOff>
      <xdr:row>155</xdr:row>
      <xdr:rowOff>115957</xdr:rowOff>
    </xdr:from>
    <xdr:ext cx="2028063" cy="5238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id="{00000000-0008-0000-0200-00000A000000}"/>
                </a:ext>
              </a:extLst>
            </xdr:cNvPr>
            <xdr:cNvSpPr txBox="1"/>
          </xdr:nvSpPr>
          <xdr:spPr>
            <a:xfrm>
              <a:off x="2935771" y="30595957"/>
              <a:ext cx="2028063" cy="5238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p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  <m:d>
                      <m:d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𝑹</m:t>
                        </m:r>
                      </m:e>
                    </m:d>
                    <m:r>
                      <a:rPr lang="es-CO" sz="14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s-CO" sz="1400" b="1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s-CO" sz="1400" b="1" i="1">
                                <a:latin typeface="Cambria Math" panose="02040503050406030204" pitchFamily="18" charset="0"/>
                              </a:rPr>
                              <m:t>𝒅</m:t>
                            </m:r>
                          </m:e>
                          <m:sup>
                            <m:r>
                              <a:rPr lang="es-CO" sz="1400" b="1" i="1">
                                <a:latin typeface="Cambria Math" panose="02040503050406030204" pitchFamily="18" charset="0"/>
                              </a:rPr>
                              <m:t>𝟐</m:t>
                            </m:r>
                          </m:sup>
                        </m:sSup>
                      </m:num>
                      <m:den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𝟔</m:t>
                        </m:r>
                      </m:den>
                    </m:f>
                    <m:r>
                      <a:rPr lang="es-CO" sz="1400" b="1" i="1">
                        <a:latin typeface="Cambria Math" panose="02040503050406030204" pitchFamily="18" charset="0"/>
                      </a:rPr>
                      <m:t>+</m:t>
                    </m:r>
                    <m:sSup>
                      <m:sSup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𝒔</m:t>
                        </m:r>
                      </m:e>
                      <m:sup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  <m:d>
                      <m:d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𝑹</m:t>
                        </m:r>
                      </m:e>
                    </m:d>
                  </m:oMath>
                </m:oMathPara>
              </a14:m>
              <a:endParaRPr lang="es-CO" sz="1400" b="1"/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2935771" y="30595957"/>
              <a:ext cx="2028063" cy="5238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</a:rPr>
                <a:t>𝒖^𝟐 (𝑹)=𝒅^𝟐/𝟔+𝒔^𝟐 (𝑹)</a:t>
              </a:r>
              <a:endParaRPr lang="es-CO" sz="1400" b="1"/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aguirre/Desktop/Directos/Funcionarios/SISTEMA%20GESTION%20DE%20CALIDAD/Laboratorios%20de%20masas%20y%20volumen%20(RT03)/Calibraciones%20Balanzas/Calibraciones%20casa%20consumidor%20Popayan/CER%200.012%20Casa%20del%20Consumidor%20Popay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irectos\Funcionarios\SISTEMA%20GESTION%20DE%20CALIDAD\Laboratorios%20de%20masas%20y%20volumen%20(RT03)\Calibraciones%20Balanzas\Calibraciones%20casa%20consumidor%20Popayan\CER%200.009%20Casa%20del%20Consumidor%20Popaya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VARGAS/Desktop/hoja%20balanzas/CERTIFICADO%200008%20Pedro%20Vargas%20Barranquilla%20(Autoguardado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aguirre/Documents/TODO%20LABORATORIO%20SIC%20%20METROLOGIA%20LEGAL/VERIFICACIONES%20MASA%20Y%20VOLUMEN%20(U)/BALANZAS/RT03-F34.Vr0%202018-01-0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irectos\Funcionarios\SISTEMA%20GESTION%20DE%20CALIDAD\Laboratorios%20de%20masas%20y%20volumen%20(RT03)\Calibraciones%20Balanzas\Calibraci&#243;n%20casa%20del%20consumidor%20Pasto\CER%200.012%20Casa%20del%20Consumidor%20Pa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UEBAS DE CALIBRACION"/>
      <sheetName val="COMPONENTES DE INCERTI"/>
      <sheetName val="APROXIMACION LINEL"/>
      <sheetName val="RESULTADOS"/>
      <sheetName val="Certificado 0,009"/>
    </sheetNames>
    <sheetDataSet>
      <sheetData sheetId="0" refreshError="1"/>
      <sheetData sheetId="1" refreshError="1"/>
      <sheetData sheetId="2" refreshError="1"/>
      <sheetData sheetId="3">
        <row r="21">
          <cell r="C21">
            <v>-6.7440415040991324E-6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UEBAS DE CALIBRACION"/>
      <sheetName val="COMPONENTES DE INCERTI"/>
      <sheetName val="APROXIMACION LINEL"/>
      <sheetName val="RESULTADOS"/>
      <sheetName val="Certificado 0,009"/>
    </sheetNames>
    <sheetDataSet>
      <sheetData sheetId="0">
        <row r="13">
          <cell r="E13">
            <v>0.1</v>
          </cell>
        </row>
      </sheetData>
      <sheetData sheetId="1">
        <row r="11">
          <cell r="H11">
            <v>5000</v>
          </cell>
        </row>
        <row r="18">
          <cell r="G18">
            <v>199.9999999998181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UEBAS DE CALIBRACION"/>
      <sheetName val="COMPONENTES DE INCERTI"/>
      <sheetName val="APROXIMACION LINEAL"/>
      <sheetName val="RESULTADOS"/>
      <sheetName val="Certificado 0,008"/>
    </sheetNames>
    <sheetDataSet>
      <sheetData sheetId="0"/>
      <sheetData sheetId="1"/>
      <sheetData sheetId="2">
        <row r="32">
          <cell r="G32">
            <v>2.3198094410224317</v>
          </cell>
          <cell r="H32">
            <v>2.1404966299111416</v>
          </cell>
          <cell r="I32">
            <v>2.0448204509932868</v>
          </cell>
          <cell r="J32">
            <v>2.0231982834557294</v>
          </cell>
          <cell r="K32">
            <v>2.0240923077978925</v>
          </cell>
        </row>
      </sheetData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DE LOS PATRONES "/>
      <sheetName val=" CALCULO BALANZAS (VERI)"/>
      <sheetName val="INFORME"/>
    </sheetNames>
    <sheetDataSet>
      <sheetData sheetId="0" refreshError="1"/>
      <sheetData sheetId="1">
        <row r="147">
          <cell r="E147" t="str">
            <v xml:space="preserve">CARGAS </v>
          </cell>
        </row>
        <row r="148">
          <cell r="E148">
            <v>10000</v>
          </cell>
          <cell r="F148">
            <v>20000</v>
          </cell>
          <cell r="G148">
            <v>30000</v>
          </cell>
        </row>
        <row r="153">
          <cell r="E153" t="e">
            <v>#DIV/0!</v>
          </cell>
          <cell r="F153" t="e">
            <v>#DIV/0!</v>
          </cell>
          <cell r="G153" t="e">
            <v>#DIV/0!</v>
          </cell>
        </row>
        <row r="155">
          <cell r="E155" t="str">
            <v>F  critico (S)</v>
          </cell>
          <cell r="F155" t="str">
            <v>F critico (I)</v>
          </cell>
        </row>
        <row r="156">
          <cell r="E156">
            <v>2.25</v>
          </cell>
          <cell r="F156">
            <v>-2.25</v>
          </cell>
        </row>
        <row r="157">
          <cell r="E157">
            <v>2.25</v>
          </cell>
          <cell r="F157">
            <v>-2.25</v>
          </cell>
        </row>
        <row r="158">
          <cell r="E158">
            <v>2.25</v>
          </cell>
          <cell r="F158">
            <v>-2.25</v>
          </cell>
        </row>
      </sheetData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UEBAS DE CALIBRACION"/>
      <sheetName val="COMPONENTES DE INCERTI"/>
      <sheetName val="APROXIMACION LINEL"/>
      <sheetName val="RESULTADOS"/>
      <sheetName val="Certificado 0,012"/>
    </sheetNames>
    <sheetDataSet>
      <sheetData sheetId="0">
        <row r="12">
          <cell r="G12" t="str">
            <v>g</v>
          </cell>
        </row>
      </sheetData>
      <sheetData sheetId="1">
        <row r="11">
          <cell r="B11" t="str">
            <v>CARGA (g)</v>
          </cell>
        </row>
        <row r="18">
          <cell r="F18" t="str">
            <v>DIF MAX EXC</v>
          </cell>
        </row>
      </sheetData>
      <sheetData sheetId="2"/>
      <sheetData sheetId="3"/>
      <sheetData sheetId="4">
        <row r="6">
          <cell r="C6" t="str">
            <v>ERROR (mg)</v>
          </cell>
        </row>
        <row r="23">
          <cell r="I23" t="str">
            <v xml:space="preserve">                + 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externalLinkPath" Target="/Users/CA32F~1.YAH/AppData/Local/Temp/Rar$DIa0.424/RT03-F12.Vr.1(2017-04-47).xlsx" TargetMode="External"/><Relationship Id="rId1" Type="http://schemas.openxmlformats.org/officeDocument/2006/relationships/externalLinkPath" Target="/Users/CA32F~1.YAH/AppData/Local/Temp/Rar$DIa0.424/RT03-F12.Vr.1(2017-04-47).xlsx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CF229"/>
  <sheetViews>
    <sheetView showGridLines="0" view="pageBreakPreview" topLeftCell="F136" zoomScale="50" zoomScaleNormal="20" zoomScaleSheetLayoutView="50" workbookViewId="0">
      <selection activeCell="Q153" sqref="Q153"/>
    </sheetView>
  </sheetViews>
  <sheetFormatPr baseColWidth="10" defaultColWidth="15.7109375" defaultRowHeight="15" x14ac:dyDescent="0.2"/>
  <cols>
    <col min="1" max="2" width="15.7109375" style="319"/>
    <col min="3" max="15" width="20.7109375" style="319" customWidth="1"/>
    <col min="16" max="27" width="20.7109375" style="321" customWidth="1"/>
    <col min="28" max="34" width="20.7109375" style="319" customWidth="1"/>
    <col min="35" max="35" width="19.85546875" style="319" bestFit="1" customWidth="1"/>
    <col min="36" max="39" width="15.85546875" style="319" bestFit="1" customWidth="1"/>
    <col min="40" max="44" width="16" style="319" customWidth="1"/>
    <col min="45" max="48" width="10.7109375" style="319" customWidth="1"/>
    <col min="49" max="49" width="16" style="319" bestFit="1" customWidth="1"/>
    <col min="50" max="50" width="15.85546875" style="319" bestFit="1" customWidth="1"/>
    <col min="51" max="51" width="20.7109375" style="319" bestFit="1" customWidth="1"/>
    <col min="52" max="52" width="15.85546875" style="319" bestFit="1" customWidth="1"/>
    <col min="53" max="53" width="15.7109375" style="319"/>
    <col min="54" max="54" width="20" style="319" customWidth="1"/>
    <col min="55" max="56" width="10.7109375" style="319" customWidth="1"/>
    <col min="57" max="16384" width="15.7109375" style="319"/>
  </cols>
  <sheetData>
    <row r="1" spans="3:84" ht="30" customHeight="1" x14ac:dyDescent="0.2"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</row>
    <row r="2" spans="3:84" ht="30" customHeight="1" thickBot="1" x14ac:dyDescent="0.25"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</row>
    <row r="3" spans="3:84" ht="30" customHeight="1" x14ac:dyDescent="0.2">
      <c r="C3" s="320"/>
      <c r="D3" s="650" t="s">
        <v>182</v>
      </c>
      <c r="E3" s="651"/>
      <c r="F3" s="651"/>
      <c r="G3" s="651"/>
      <c r="H3" s="651"/>
      <c r="I3" s="651"/>
      <c r="J3" s="651"/>
      <c r="K3" s="651"/>
      <c r="L3" s="652"/>
      <c r="M3" s="320"/>
      <c r="N3" s="320"/>
    </row>
    <row r="4" spans="3:84" ht="30" customHeight="1" thickBot="1" x14ac:dyDescent="0.25">
      <c r="C4" s="320"/>
      <c r="D4" s="653"/>
      <c r="E4" s="654"/>
      <c r="F4" s="654"/>
      <c r="G4" s="654"/>
      <c r="H4" s="654"/>
      <c r="I4" s="654"/>
      <c r="J4" s="654"/>
      <c r="K4" s="654"/>
      <c r="L4" s="655"/>
      <c r="M4" s="320"/>
      <c r="N4" s="320"/>
    </row>
    <row r="5" spans="3:84" ht="30" customHeight="1" x14ac:dyDescent="0.2">
      <c r="C5" s="320"/>
      <c r="D5" s="681" t="s">
        <v>183</v>
      </c>
      <c r="E5" s="683" t="s">
        <v>7</v>
      </c>
      <c r="F5" s="683" t="s">
        <v>184</v>
      </c>
      <c r="G5" s="683" t="s">
        <v>8</v>
      </c>
      <c r="H5" s="683" t="s">
        <v>78</v>
      </c>
      <c r="I5" s="683" t="s">
        <v>347</v>
      </c>
      <c r="J5" s="683" t="s">
        <v>348</v>
      </c>
      <c r="K5" s="683" t="s">
        <v>185</v>
      </c>
      <c r="L5" s="685" t="s">
        <v>350</v>
      </c>
      <c r="M5" s="320"/>
      <c r="N5" s="320"/>
    </row>
    <row r="6" spans="3:84" ht="30" customHeight="1" thickBot="1" x14ac:dyDescent="0.25">
      <c r="C6" s="320"/>
      <c r="D6" s="682"/>
      <c r="E6" s="684"/>
      <c r="F6" s="684"/>
      <c r="G6" s="684"/>
      <c r="H6" s="684"/>
      <c r="I6" s="684"/>
      <c r="J6" s="684"/>
      <c r="K6" s="684"/>
      <c r="L6" s="686"/>
      <c r="M6" s="320"/>
      <c r="N6" s="320"/>
    </row>
    <row r="7" spans="3:84" ht="30" customHeight="1" x14ac:dyDescent="0.2">
      <c r="C7" s="320"/>
      <c r="D7" s="322"/>
      <c r="E7" s="323"/>
      <c r="F7" s="323"/>
      <c r="G7" s="323"/>
      <c r="H7" s="323"/>
      <c r="I7" s="323"/>
      <c r="J7" s="323"/>
      <c r="K7" s="323"/>
      <c r="L7" s="324"/>
      <c r="M7" s="320"/>
      <c r="N7" s="320"/>
    </row>
    <row r="8" spans="3:84" s="331" customFormat="1" ht="30" customHeight="1" x14ac:dyDescent="0.2">
      <c r="C8" s="325"/>
      <c r="D8" s="326">
        <v>1</v>
      </c>
      <c r="E8" s="327" t="s">
        <v>421</v>
      </c>
      <c r="F8" s="328">
        <v>43175</v>
      </c>
      <c r="G8" s="329" t="s">
        <v>422</v>
      </c>
      <c r="H8" s="329" t="s">
        <v>423</v>
      </c>
      <c r="I8" s="329" t="s">
        <v>424</v>
      </c>
      <c r="J8" s="328">
        <v>43175</v>
      </c>
      <c r="K8" s="327" t="s">
        <v>425</v>
      </c>
      <c r="L8" s="330" t="s">
        <v>426</v>
      </c>
      <c r="M8" s="320"/>
      <c r="N8" s="320"/>
      <c r="O8" s="319"/>
      <c r="AJ8" s="319"/>
      <c r="AK8" s="319"/>
      <c r="AL8" s="319"/>
      <c r="AM8" s="319"/>
      <c r="AN8" s="319"/>
      <c r="AO8" s="319"/>
      <c r="AP8" s="319"/>
      <c r="AQ8" s="319"/>
      <c r="AR8" s="319"/>
      <c r="AS8" s="319"/>
      <c r="AT8" s="319"/>
      <c r="AU8" s="319"/>
      <c r="AV8" s="319"/>
      <c r="AW8" s="319"/>
      <c r="AX8" s="319"/>
      <c r="AY8" s="319"/>
      <c r="AZ8" s="319"/>
      <c r="BA8" s="319"/>
      <c r="BB8" s="319"/>
      <c r="BC8" s="319"/>
      <c r="BD8" s="319"/>
      <c r="BE8" s="319"/>
      <c r="BF8" s="319"/>
      <c r="BG8" s="319"/>
      <c r="BH8" s="319"/>
      <c r="BI8" s="319"/>
      <c r="BJ8" s="319"/>
      <c r="BK8" s="319"/>
      <c r="BL8" s="319"/>
      <c r="BM8" s="319"/>
      <c r="BN8" s="319"/>
      <c r="BO8" s="319"/>
      <c r="CE8" s="319"/>
      <c r="CF8" s="319"/>
    </row>
    <row r="9" spans="3:84" s="331" customFormat="1" ht="30" customHeight="1" thickBot="1" x14ac:dyDescent="0.25">
      <c r="C9" s="325"/>
      <c r="D9" s="332"/>
      <c r="E9" s="333"/>
      <c r="F9" s="333"/>
      <c r="G9" s="333"/>
      <c r="H9" s="333"/>
      <c r="I9" s="333"/>
      <c r="J9" s="333"/>
      <c r="K9" s="333"/>
      <c r="L9" s="334"/>
      <c r="M9" s="325"/>
      <c r="N9" s="320"/>
      <c r="O9" s="319"/>
      <c r="AJ9" s="319"/>
      <c r="AK9" s="319"/>
      <c r="AL9" s="319"/>
      <c r="AM9" s="319"/>
      <c r="AN9" s="319"/>
      <c r="AO9" s="319"/>
      <c r="AP9" s="319"/>
      <c r="AQ9" s="319"/>
      <c r="AR9" s="319"/>
      <c r="AS9" s="319"/>
      <c r="AT9" s="319"/>
      <c r="AU9" s="319"/>
      <c r="AV9" s="319"/>
      <c r="AW9" s="319"/>
      <c r="AX9" s="319"/>
      <c r="AY9" s="319"/>
      <c r="AZ9" s="319"/>
      <c r="BA9" s="319"/>
      <c r="BB9" s="319"/>
      <c r="BC9" s="319"/>
      <c r="BD9" s="319"/>
      <c r="BE9" s="319"/>
      <c r="BF9" s="319"/>
      <c r="BG9" s="319"/>
      <c r="BH9" s="319"/>
      <c r="BI9" s="319"/>
      <c r="BJ9" s="319"/>
      <c r="BK9" s="319"/>
      <c r="BL9" s="319"/>
      <c r="BM9" s="319"/>
      <c r="BN9" s="319"/>
      <c r="BO9" s="319"/>
      <c r="CE9" s="319"/>
      <c r="CF9" s="319"/>
    </row>
    <row r="10" spans="3:84" s="331" customFormat="1" ht="30" customHeight="1" x14ac:dyDescent="0.2">
      <c r="C10" s="325"/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320"/>
      <c r="O10" s="319"/>
      <c r="AJ10" s="319"/>
      <c r="AK10" s="319"/>
      <c r="AL10" s="319"/>
      <c r="AM10" s="319"/>
      <c r="AN10" s="319"/>
      <c r="AO10" s="319"/>
      <c r="AP10" s="319"/>
      <c r="AQ10" s="319"/>
      <c r="AR10" s="319"/>
      <c r="AS10" s="319"/>
      <c r="AT10" s="319"/>
      <c r="AU10" s="319"/>
      <c r="AV10" s="319"/>
      <c r="AW10" s="319"/>
      <c r="AX10" s="319"/>
      <c r="AY10" s="319"/>
      <c r="AZ10" s="319"/>
      <c r="BA10" s="319"/>
      <c r="BB10" s="319"/>
      <c r="BC10" s="319"/>
      <c r="BD10" s="319"/>
      <c r="BE10" s="319"/>
      <c r="BF10" s="319"/>
      <c r="BG10" s="319"/>
      <c r="BH10" s="319"/>
      <c r="BI10" s="319"/>
      <c r="BJ10" s="319"/>
      <c r="BK10" s="319"/>
      <c r="BL10" s="319"/>
      <c r="BM10" s="319"/>
      <c r="BN10" s="319"/>
      <c r="BO10" s="319"/>
      <c r="CE10" s="319"/>
      <c r="CF10" s="319"/>
    </row>
    <row r="11" spans="3:84" s="331" customFormat="1" ht="30" customHeight="1" thickBot="1" x14ac:dyDescent="0.25">
      <c r="C11" s="325"/>
      <c r="D11" s="325"/>
      <c r="E11" s="325"/>
      <c r="F11" s="325"/>
      <c r="G11" s="325"/>
      <c r="H11" s="325"/>
      <c r="I11" s="325"/>
      <c r="J11" s="325"/>
      <c r="K11" s="325"/>
      <c r="L11" s="325"/>
      <c r="M11" s="325"/>
      <c r="N11" s="320"/>
      <c r="O11" s="319"/>
      <c r="AJ11" s="319"/>
      <c r="AK11" s="319"/>
      <c r="AL11" s="319"/>
      <c r="AM11" s="319"/>
      <c r="AN11" s="319"/>
      <c r="AO11" s="319"/>
      <c r="AP11" s="319"/>
      <c r="AQ11" s="319"/>
      <c r="AR11" s="319"/>
      <c r="AS11" s="319"/>
      <c r="AT11" s="319"/>
      <c r="AU11" s="319"/>
      <c r="AV11" s="319"/>
      <c r="AW11" s="319"/>
      <c r="AX11" s="319"/>
      <c r="AY11" s="319"/>
      <c r="AZ11" s="319"/>
      <c r="BA11" s="319"/>
      <c r="BB11" s="319"/>
      <c r="BC11" s="319"/>
      <c r="BD11" s="319"/>
      <c r="BE11" s="319"/>
      <c r="BF11" s="319"/>
      <c r="BG11" s="319"/>
      <c r="BH11" s="319"/>
      <c r="BI11" s="319"/>
      <c r="BJ11" s="319"/>
      <c r="BK11" s="319"/>
      <c r="BL11" s="319"/>
      <c r="BM11" s="319"/>
      <c r="BN11" s="319"/>
      <c r="BO11" s="319"/>
      <c r="CE11" s="319"/>
      <c r="CF11" s="319"/>
    </row>
    <row r="12" spans="3:84" s="331" customFormat="1" ht="30" customHeight="1" x14ac:dyDescent="0.2">
      <c r="C12" s="325"/>
      <c r="D12" s="687" t="s">
        <v>349</v>
      </c>
      <c r="E12" s="688"/>
      <c r="F12" s="688"/>
      <c r="G12" s="688"/>
      <c r="H12" s="688"/>
      <c r="I12" s="688"/>
      <c r="J12" s="688"/>
      <c r="K12" s="688"/>
      <c r="L12" s="688"/>
      <c r="M12" s="689"/>
      <c r="N12" s="320"/>
      <c r="O12" s="319"/>
      <c r="AJ12" s="319"/>
      <c r="AK12" s="319"/>
      <c r="AL12" s="319"/>
      <c r="AM12" s="319"/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  <c r="AX12" s="319"/>
      <c r="AY12" s="319"/>
      <c r="AZ12" s="319"/>
      <c r="BA12" s="319"/>
      <c r="BB12" s="319"/>
      <c r="BC12" s="319"/>
      <c r="BD12" s="319"/>
      <c r="BE12" s="319"/>
      <c r="BF12" s="319"/>
      <c r="BG12" s="319"/>
      <c r="BH12" s="319"/>
      <c r="BI12" s="319"/>
      <c r="BJ12" s="319"/>
      <c r="BK12" s="319"/>
      <c r="BL12" s="319"/>
      <c r="BM12" s="319"/>
      <c r="BN12" s="319"/>
      <c r="BO12" s="319"/>
      <c r="CE12" s="319"/>
      <c r="CF12" s="319"/>
    </row>
    <row r="13" spans="3:84" ht="30" customHeight="1" thickBot="1" x14ac:dyDescent="0.25">
      <c r="C13" s="325"/>
      <c r="D13" s="690"/>
      <c r="E13" s="691"/>
      <c r="F13" s="691"/>
      <c r="G13" s="691"/>
      <c r="H13" s="691"/>
      <c r="I13" s="691"/>
      <c r="J13" s="691"/>
      <c r="K13" s="691"/>
      <c r="L13" s="691"/>
      <c r="M13" s="692"/>
      <c r="N13" s="320"/>
    </row>
    <row r="14" spans="3:84" ht="30" customHeight="1" x14ac:dyDescent="0.2">
      <c r="C14" s="325"/>
      <c r="D14" s="693" t="s">
        <v>183</v>
      </c>
      <c r="E14" s="695" t="s">
        <v>3</v>
      </c>
      <c r="F14" s="695" t="s">
        <v>9</v>
      </c>
      <c r="G14" s="695" t="s">
        <v>1</v>
      </c>
      <c r="H14" s="697" t="s">
        <v>45</v>
      </c>
      <c r="I14" s="697" t="s">
        <v>48</v>
      </c>
      <c r="J14" s="695" t="s">
        <v>314</v>
      </c>
      <c r="K14" s="699" t="s">
        <v>69</v>
      </c>
      <c r="L14" s="701" t="s">
        <v>185</v>
      </c>
      <c r="M14" s="703" t="s">
        <v>244</v>
      </c>
      <c r="N14" s="320"/>
    </row>
    <row r="15" spans="3:84" ht="30" customHeight="1" thickBot="1" x14ac:dyDescent="0.25">
      <c r="C15" s="325"/>
      <c r="D15" s="694"/>
      <c r="E15" s="696"/>
      <c r="F15" s="696"/>
      <c r="G15" s="696"/>
      <c r="H15" s="698"/>
      <c r="I15" s="698"/>
      <c r="J15" s="696"/>
      <c r="K15" s="700"/>
      <c r="L15" s="702"/>
      <c r="M15" s="704"/>
      <c r="N15" s="320"/>
    </row>
    <row r="16" spans="3:84" ht="30" customHeight="1" x14ac:dyDescent="0.2">
      <c r="C16" s="325"/>
      <c r="D16" s="322"/>
      <c r="E16" s="323"/>
      <c r="F16" s="323"/>
      <c r="G16" s="323"/>
      <c r="H16" s="323"/>
      <c r="I16" s="323"/>
      <c r="J16" s="323"/>
      <c r="K16" s="323"/>
      <c r="L16" s="323"/>
      <c r="M16" s="324"/>
      <c r="N16" s="320"/>
    </row>
    <row r="17" spans="3:47" ht="30" customHeight="1" x14ac:dyDescent="0.2">
      <c r="C17" s="325"/>
      <c r="D17" s="326">
        <v>1</v>
      </c>
      <c r="E17" s="329" t="s">
        <v>177</v>
      </c>
      <c r="F17" s="329" t="s">
        <v>427</v>
      </c>
      <c r="G17" s="329">
        <v>5473</v>
      </c>
      <c r="H17" s="329">
        <v>35000</v>
      </c>
      <c r="I17" s="329">
        <v>5</v>
      </c>
      <c r="J17" s="329">
        <v>0.1</v>
      </c>
      <c r="K17" s="329">
        <v>1</v>
      </c>
      <c r="L17" s="329" t="s">
        <v>425</v>
      </c>
      <c r="M17" s="335" t="s">
        <v>426</v>
      </c>
      <c r="N17" s="320"/>
    </row>
    <row r="18" spans="3:47" ht="30" customHeight="1" thickBot="1" x14ac:dyDescent="0.25">
      <c r="C18" s="325"/>
      <c r="D18" s="336"/>
      <c r="E18" s="337"/>
      <c r="F18" s="337"/>
      <c r="G18" s="337"/>
      <c r="H18" s="338"/>
      <c r="I18" s="338"/>
      <c r="J18" s="337"/>
      <c r="K18" s="337"/>
      <c r="L18" s="338"/>
      <c r="M18" s="339"/>
      <c r="N18" s="320"/>
    </row>
    <row r="19" spans="3:47" ht="30" customHeight="1" x14ac:dyDescent="0.2">
      <c r="C19" s="325"/>
      <c r="D19" s="325"/>
      <c r="E19" s="325"/>
      <c r="F19" s="325"/>
      <c r="G19" s="325"/>
      <c r="H19" s="325"/>
      <c r="I19" s="325"/>
      <c r="J19" s="325"/>
      <c r="K19" s="325"/>
      <c r="L19" s="325"/>
      <c r="M19" s="325"/>
      <c r="N19" s="320"/>
    </row>
    <row r="20" spans="3:47" ht="30" customHeight="1" x14ac:dyDescent="0.2">
      <c r="C20" s="325"/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0"/>
      <c r="AT20" s="325"/>
      <c r="AU20" s="320"/>
    </row>
    <row r="21" spans="3:47" ht="30" customHeight="1" x14ac:dyDescent="0.2">
      <c r="C21" s="325"/>
      <c r="D21" s="325"/>
      <c r="E21" s="325"/>
      <c r="F21" s="325"/>
      <c r="G21" s="325"/>
      <c r="H21" s="325"/>
      <c r="I21" s="325"/>
      <c r="J21" s="325"/>
      <c r="K21" s="325"/>
      <c r="L21" s="325"/>
      <c r="M21" s="325"/>
      <c r="N21" s="320"/>
      <c r="AT21" s="325"/>
      <c r="AU21" s="320"/>
    </row>
    <row r="22" spans="3:47" ht="30" customHeight="1" thickBot="1" x14ac:dyDescent="0.25">
      <c r="C22" s="325"/>
      <c r="D22" s="325"/>
      <c r="E22" s="325"/>
      <c r="F22" s="325"/>
      <c r="G22" s="325"/>
      <c r="H22" s="325"/>
      <c r="I22" s="325"/>
      <c r="J22" s="325"/>
      <c r="K22" s="325"/>
      <c r="L22" s="325"/>
      <c r="M22" s="325"/>
      <c r="N22" s="320"/>
      <c r="AT22" s="325"/>
      <c r="AU22" s="320"/>
    </row>
    <row r="23" spans="3:47" ht="30" customHeight="1" x14ac:dyDescent="0.2">
      <c r="C23" s="325"/>
      <c r="D23" s="650" t="s">
        <v>309</v>
      </c>
      <c r="E23" s="651"/>
      <c r="F23" s="651"/>
      <c r="G23" s="651"/>
      <c r="H23" s="651"/>
      <c r="I23" s="651"/>
      <c r="J23" s="651"/>
      <c r="K23" s="651"/>
      <c r="L23" s="651"/>
      <c r="M23" s="651"/>
      <c r="N23" s="651"/>
      <c r="O23" s="651"/>
      <c r="P23" s="651"/>
      <c r="Q23" s="651"/>
      <c r="R23" s="651"/>
      <c r="S23" s="652"/>
      <c r="AT23" s="325"/>
      <c r="AU23" s="320"/>
    </row>
    <row r="24" spans="3:47" ht="30" customHeight="1" thickBot="1" x14ac:dyDescent="0.25">
      <c r="C24" s="325"/>
      <c r="D24" s="653"/>
      <c r="E24" s="654"/>
      <c r="F24" s="654"/>
      <c r="G24" s="654"/>
      <c r="H24" s="654"/>
      <c r="I24" s="654"/>
      <c r="J24" s="654"/>
      <c r="K24" s="654"/>
      <c r="L24" s="654"/>
      <c r="M24" s="654"/>
      <c r="N24" s="654"/>
      <c r="O24" s="654"/>
      <c r="P24" s="654"/>
      <c r="Q24" s="654"/>
      <c r="R24" s="654"/>
      <c r="S24" s="655"/>
      <c r="AT24" s="325"/>
      <c r="AU24" s="320"/>
    </row>
    <row r="25" spans="3:47" ht="30" customHeight="1" x14ac:dyDescent="0.2">
      <c r="C25" s="325"/>
      <c r="D25" s="672" t="s">
        <v>187</v>
      </c>
      <c r="E25" s="674" t="s">
        <v>0</v>
      </c>
      <c r="F25" s="674" t="s">
        <v>3</v>
      </c>
      <c r="G25" s="674" t="s">
        <v>1</v>
      </c>
      <c r="H25" s="674" t="s">
        <v>188</v>
      </c>
      <c r="I25" s="674" t="s">
        <v>186</v>
      </c>
      <c r="J25" s="667" t="s">
        <v>348</v>
      </c>
      <c r="K25" s="667" t="s">
        <v>189</v>
      </c>
      <c r="L25" s="679" t="s">
        <v>310</v>
      </c>
      <c r="M25" s="679" t="s">
        <v>311</v>
      </c>
      <c r="N25" s="674" t="s">
        <v>190</v>
      </c>
      <c r="O25" s="679" t="s">
        <v>317</v>
      </c>
      <c r="P25" s="667" t="s">
        <v>191</v>
      </c>
      <c r="Q25" s="667" t="s">
        <v>382</v>
      </c>
      <c r="R25" s="665" t="s">
        <v>192</v>
      </c>
      <c r="S25" s="648" t="s">
        <v>126</v>
      </c>
      <c r="AT25" s="325"/>
    </row>
    <row r="26" spans="3:47" ht="30" customHeight="1" thickBot="1" x14ac:dyDescent="0.25">
      <c r="C26" s="325"/>
      <c r="D26" s="673"/>
      <c r="E26" s="675"/>
      <c r="F26" s="675"/>
      <c r="G26" s="675"/>
      <c r="H26" s="675"/>
      <c r="I26" s="675"/>
      <c r="J26" s="668"/>
      <c r="K26" s="668"/>
      <c r="L26" s="680"/>
      <c r="M26" s="680"/>
      <c r="N26" s="675"/>
      <c r="O26" s="680"/>
      <c r="P26" s="668"/>
      <c r="Q26" s="668"/>
      <c r="R26" s="666"/>
      <c r="S26" s="649"/>
      <c r="AT26" s="325"/>
    </row>
    <row r="27" spans="3:47" ht="30" customHeight="1" thickBot="1" x14ac:dyDescent="0.25">
      <c r="C27" s="325"/>
      <c r="D27" s="340"/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  <c r="R27" s="342"/>
      <c r="S27" s="343"/>
      <c r="AT27" s="325"/>
    </row>
    <row r="28" spans="3:47" ht="30" customHeight="1" x14ac:dyDescent="0.2">
      <c r="C28" s="645" t="s">
        <v>320</v>
      </c>
      <c r="D28" s="363" t="s">
        <v>303</v>
      </c>
      <c r="E28" s="364" t="s">
        <v>308</v>
      </c>
      <c r="F28" s="364" t="s">
        <v>258</v>
      </c>
      <c r="G28" s="364" t="s">
        <v>259</v>
      </c>
      <c r="H28" s="364" t="s">
        <v>260</v>
      </c>
      <c r="I28" s="364" t="s">
        <v>315</v>
      </c>
      <c r="J28" s="365">
        <v>42683</v>
      </c>
      <c r="K28" s="364">
        <v>5</v>
      </c>
      <c r="L28" s="364">
        <v>5</v>
      </c>
      <c r="M28" s="364">
        <v>100</v>
      </c>
      <c r="N28" s="367">
        <v>0.09</v>
      </c>
      <c r="O28" s="366">
        <f>K28+(N28)/1000</f>
        <v>5.0000900000000001</v>
      </c>
      <c r="P28" s="364">
        <v>5.2999999999999999E-2</v>
      </c>
      <c r="Q28" s="348">
        <v>0.88529999999999998</v>
      </c>
      <c r="R28" s="369" t="s">
        <v>316</v>
      </c>
      <c r="S28" s="430" t="s">
        <v>322</v>
      </c>
      <c r="AT28" s="325"/>
    </row>
    <row r="29" spans="3:47" ht="30" customHeight="1" x14ac:dyDescent="0.2">
      <c r="C29" s="646"/>
      <c r="D29" s="350" t="s">
        <v>304</v>
      </c>
      <c r="E29" s="351" t="s">
        <v>308</v>
      </c>
      <c r="F29" s="351" t="s">
        <v>258</v>
      </c>
      <c r="G29" s="351" t="s">
        <v>259</v>
      </c>
      <c r="H29" s="351" t="s">
        <v>260</v>
      </c>
      <c r="I29" s="351" t="s">
        <v>315</v>
      </c>
      <c r="J29" s="352">
        <v>42683</v>
      </c>
      <c r="K29" s="351">
        <v>200</v>
      </c>
      <c r="L29" s="351">
        <v>10</v>
      </c>
      <c r="M29" s="351">
        <v>200</v>
      </c>
      <c r="N29" s="351">
        <v>0.05</v>
      </c>
      <c r="O29" s="353">
        <f t="shared" ref="O29:O32" si="0">K29+(N29)/1000</f>
        <v>200.00004999999999</v>
      </c>
      <c r="P29" s="354">
        <v>0.33</v>
      </c>
      <c r="Q29" s="355">
        <v>0.88470000000000004</v>
      </c>
      <c r="R29" s="371" t="s">
        <v>316</v>
      </c>
      <c r="S29" s="429" t="s">
        <v>322</v>
      </c>
      <c r="AT29" s="325"/>
    </row>
    <row r="30" spans="3:47" ht="30" customHeight="1" x14ac:dyDescent="0.2">
      <c r="C30" s="646"/>
      <c r="D30" s="350" t="s">
        <v>305</v>
      </c>
      <c r="E30" s="351" t="s">
        <v>308</v>
      </c>
      <c r="F30" s="351" t="s">
        <v>258</v>
      </c>
      <c r="G30" s="351" t="s">
        <v>259</v>
      </c>
      <c r="H30" s="351" t="s">
        <v>260</v>
      </c>
      <c r="I30" s="351" t="s">
        <v>315</v>
      </c>
      <c r="J30" s="352">
        <v>42683</v>
      </c>
      <c r="K30" s="351">
        <v>1000</v>
      </c>
      <c r="L30" s="351">
        <v>200</v>
      </c>
      <c r="M30" s="351">
        <v>500</v>
      </c>
      <c r="N30" s="351">
        <v>-0.2</v>
      </c>
      <c r="O30" s="356">
        <f t="shared" si="0"/>
        <v>999.99980000000005</v>
      </c>
      <c r="P30" s="357">
        <v>1.7</v>
      </c>
      <c r="Q30" s="355">
        <v>0.88219999999999998</v>
      </c>
      <c r="R30" s="371" t="s">
        <v>316</v>
      </c>
      <c r="S30" s="429" t="s">
        <v>322</v>
      </c>
      <c r="AT30" s="325"/>
    </row>
    <row r="31" spans="3:47" ht="30" customHeight="1" x14ac:dyDescent="0.2">
      <c r="C31" s="646"/>
      <c r="D31" s="350" t="s">
        <v>306</v>
      </c>
      <c r="E31" s="351" t="s">
        <v>308</v>
      </c>
      <c r="F31" s="351" t="s">
        <v>258</v>
      </c>
      <c r="G31" s="351" t="s">
        <v>259</v>
      </c>
      <c r="H31" s="351" t="s">
        <v>260</v>
      </c>
      <c r="I31" s="351" t="s">
        <v>315</v>
      </c>
      <c r="J31" s="352">
        <v>42683</v>
      </c>
      <c r="K31" s="351">
        <v>2000</v>
      </c>
      <c r="L31" s="351">
        <v>1000</v>
      </c>
      <c r="M31" s="351">
        <v>1000</v>
      </c>
      <c r="N31" s="351">
        <v>4.5999999999999996</v>
      </c>
      <c r="O31" s="356">
        <f t="shared" si="0"/>
        <v>2000.0046</v>
      </c>
      <c r="P31" s="351">
        <v>3.3</v>
      </c>
      <c r="Q31" s="355">
        <v>0.88249999999999995</v>
      </c>
      <c r="R31" s="371" t="s">
        <v>316</v>
      </c>
      <c r="S31" s="429" t="s">
        <v>322</v>
      </c>
      <c r="AT31" s="325"/>
    </row>
    <row r="32" spans="3:47" ht="30" customHeight="1" thickBot="1" x14ac:dyDescent="0.25">
      <c r="C32" s="647"/>
      <c r="D32" s="358" t="s">
        <v>307</v>
      </c>
      <c r="E32" s="359" t="s">
        <v>308</v>
      </c>
      <c r="F32" s="359" t="s">
        <v>258</v>
      </c>
      <c r="G32" s="359" t="s">
        <v>259</v>
      </c>
      <c r="H32" s="359" t="s">
        <v>260</v>
      </c>
      <c r="I32" s="359" t="s">
        <v>315</v>
      </c>
      <c r="J32" s="360">
        <v>42683</v>
      </c>
      <c r="K32" s="359">
        <v>5000</v>
      </c>
      <c r="L32" s="359">
        <v>2000</v>
      </c>
      <c r="M32" s="359">
        <v>2000</v>
      </c>
      <c r="N32" s="359">
        <v>4.8</v>
      </c>
      <c r="O32" s="361">
        <f t="shared" si="0"/>
        <v>5000.0047999999997</v>
      </c>
      <c r="P32" s="359">
        <v>8.3000000000000007</v>
      </c>
      <c r="Q32" s="359">
        <v>0.88319999999999999</v>
      </c>
      <c r="R32" s="443" t="s">
        <v>316</v>
      </c>
      <c r="S32" s="444" t="s">
        <v>322</v>
      </c>
      <c r="AT32" s="325"/>
    </row>
    <row r="33" spans="3:46" ht="30" customHeight="1" x14ac:dyDescent="0.2">
      <c r="C33" s="425"/>
      <c r="D33" s="363"/>
      <c r="E33" s="364"/>
      <c r="F33" s="364"/>
      <c r="G33" s="364"/>
      <c r="H33" s="362"/>
      <c r="I33" s="364"/>
      <c r="J33" s="364"/>
      <c r="K33" s="362"/>
      <c r="L33" s="364"/>
      <c r="M33" s="364"/>
      <c r="N33" s="364"/>
      <c r="O33" s="368"/>
      <c r="P33" s="364"/>
      <c r="Q33" s="364"/>
      <c r="R33" s="364"/>
      <c r="S33" s="369"/>
      <c r="AT33" s="325"/>
    </row>
    <row r="34" spans="3:46" ht="30" customHeight="1" x14ac:dyDescent="0.2">
      <c r="C34" s="425"/>
      <c r="D34" s="350" t="s">
        <v>415</v>
      </c>
      <c r="E34" s="351"/>
      <c r="F34" s="351"/>
      <c r="G34" s="351"/>
      <c r="H34" s="485" t="s">
        <v>418</v>
      </c>
      <c r="I34" s="351"/>
      <c r="J34" s="352"/>
      <c r="K34" s="485">
        <v>12000</v>
      </c>
      <c r="L34" s="351"/>
      <c r="M34" s="351"/>
      <c r="N34" s="351"/>
      <c r="O34" s="487">
        <f>K34+(N69+N71)/1000</f>
        <v>12000.01</v>
      </c>
      <c r="P34" s="490">
        <f>P68+P71</f>
        <v>19</v>
      </c>
      <c r="Q34" s="351"/>
      <c r="R34" s="351"/>
      <c r="S34" s="371"/>
      <c r="AT34" s="325"/>
    </row>
    <row r="35" spans="3:46" ht="30" customHeight="1" x14ac:dyDescent="0.2">
      <c r="C35" s="425"/>
      <c r="D35" s="350" t="s">
        <v>416</v>
      </c>
      <c r="E35" s="351"/>
      <c r="F35" s="351"/>
      <c r="G35" s="351"/>
      <c r="H35" s="485" t="s">
        <v>419</v>
      </c>
      <c r="I35" s="351"/>
      <c r="J35" s="352"/>
      <c r="K35" s="485">
        <v>24000</v>
      </c>
      <c r="L35" s="351"/>
      <c r="M35" s="351"/>
      <c r="N35" s="351"/>
      <c r="O35" s="488">
        <f>K35+(N68+N69+N72)/1000</f>
        <v>24000.004199999999</v>
      </c>
      <c r="P35" s="491">
        <f>P68+P69+P72</f>
        <v>36</v>
      </c>
      <c r="Q35" s="351"/>
      <c r="R35" s="351"/>
      <c r="S35" s="371"/>
      <c r="AT35" s="325"/>
    </row>
    <row r="36" spans="3:46" ht="30" customHeight="1" thickBot="1" x14ac:dyDescent="0.25">
      <c r="C36" s="425"/>
      <c r="D36" s="374" t="s">
        <v>417</v>
      </c>
      <c r="E36" s="375"/>
      <c r="F36" s="375"/>
      <c r="G36" s="375"/>
      <c r="H36" s="486" t="s">
        <v>420</v>
      </c>
      <c r="I36" s="375"/>
      <c r="J36" s="376"/>
      <c r="K36" s="486">
        <v>35000</v>
      </c>
      <c r="L36" s="375"/>
      <c r="M36" s="375"/>
      <c r="N36" s="375"/>
      <c r="O36" s="489">
        <f t="shared" ref="O36" si="1">K36+(N36)/1000</f>
        <v>35000</v>
      </c>
      <c r="P36" s="375"/>
      <c r="Q36" s="375"/>
      <c r="R36" s="375"/>
      <c r="S36" s="380"/>
      <c r="AT36" s="325"/>
    </row>
    <row r="37" spans="3:46" ht="30" customHeight="1" thickBot="1" x14ac:dyDescent="0.25">
      <c r="C37" s="325"/>
      <c r="D37" s="427"/>
      <c r="E37" s="426"/>
      <c r="F37" s="426"/>
      <c r="G37" s="426"/>
      <c r="H37" s="426"/>
      <c r="I37" s="426"/>
      <c r="J37" s="426"/>
      <c r="K37" s="426"/>
      <c r="N37" s="426"/>
      <c r="O37" s="426"/>
      <c r="P37" s="426"/>
      <c r="Q37" s="388"/>
      <c r="R37" s="426"/>
      <c r="S37" s="389"/>
      <c r="AT37" s="325"/>
    </row>
    <row r="38" spans="3:46" ht="30" customHeight="1" x14ac:dyDescent="0.2">
      <c r="C38" s="662" t="s">
        <v>324</v>
      </c>
      <c r="D38" s="492" t="s">
        <v>193</v>
      </c>
      <c r="E38" s="364" t="s">
        <v>194</v>
      </c>
      <c r="F38" s="364" t="s">
        <v>177</v>
      </c>
      <c r="G38" s="364">
        <v>27129360</v>
      </c>
      <c r="H38" s="364" t="s">
        <v>195</v>
      </c>
      <c r="I38" s="364">
        <v>1230</v>
      </c>
      <c r="J38" s="365">
        <v>42631</v>
      </c>
      <c r="K38" s="364">
        <v>1</v>
      </c>
      <c r="L38" s="364">
        <v>4000</v>
      </c>
      <c r="M38" s="364">
        <v>5000</v>
      </c>
      <c r="N38" s="364">
        <v>6.0000000000000001E-3</v>
      </c>
      <c r="O38" s="366">
        <f>K38+(N38)/1000</f>
        <v>1.000006</v>
      </c>
      <c r="P38" s="367">
        <v>0.01</v>
      </c>
      <c r="Q38" s="368">
        <f>(0.34848*((752.597+755.909)/2)-0.009024*((44.5+51.2)/2)*EXP(0.0612*((19.7+20.8)/2)))/(273.15+((19.7+20.8)/2))</f>
        <v>0.89076687525312348</v>
      </c>
      <c r="R38" s="364" t="s">
        <v>196</v>
      </c>
      <c r="S38" s="369" t="s">
        <v>323</v>
      </c>
      <c r="AT38" s="325"/>
    </row>
    <row r="39" spans="3:46" ht="30" customHeight="1" x14ac:dyDescent="0.2">
      <c r="C39" s="663"/>
      <c r="D39" s="428" t="s">
        <v>197</v>
      </c>
      <c r="E39" s="351" t="s">
        <v>194</v>
      </c>
      <c r="F39" s="351" t="s">
        <v>177</v>
      </c>
      <c r="G39" s="351">
        <v>27129360</v>
      </c>
      <c r="H39" s="351" t="s">
        <v>198</v>
      </c>
      <c r="I39" s="351">
        <v>1230</v>
      </c>
      <c r="J39" s="352">
        <v>42631</v>
      </c>
      <c r="K39" s="351">
        <v>2</v>
      </c>
      <c r="L39" s="351">
        <v>5000</v>
      </c>
      <c r="M39" s="351">
        <v>6000</v>
      </c>
      <c r="N39" s="351">
        <v>6.0000000000000001E-3</v>
      </c>
      <c r="O39" s="370">
        <f t="shared" ref="O39:O88" si="2">K39+(N39)/1000</f>
        <v>2.000006</v>
      </c>
      <c r="P39" s="351">
        <v>1.2E-2</v>
      </c>
      <c r="Q39" s="356">
        <f t="shared" ref="Q39:Q54" si="3">(0.34848*((752.597+755.909)/2)-0.009024*((44.5+51.2)/2)*EXP(0.0612*((19.7+20.8)/2)))/(273.15+((19.7+20.8)/2))</f>
        <v>0.89076687525312348</v>
      </c>
      <c r="R39" s="351" t="str">
        <f t="shared" ref="R39:R54" si="4">R38</f>
        <v>M-001</v>
      </c>
      <c r="S39" s="371" t="s">
        <v>323</v>
      </c>
      <c r="AT39" s="325"/>
    </row>
    <row r="40" spans="3:46" ht="30" customHeight="1" x14ac:dyDescent="0.2">
      <c r="C40" s="663"/>
      <c r="D40" s="428" t="s">
        <v>199</v>
      </c>
      <c r="E40" s="351" t="s">
        <v>194</v>
      </c>
      <c r="F40" s="351" t="s">
        <v>177</v>
      </c>
      <c r="G40" s="351">
        <v>27129360</v>
      </c>
      <c r="H40" s="351" t="s">
        <v>200</v>
      </c>
      <c r="I40" s="351">
        <v>1230</v>
      </c>
      <c r="J40" s="352">
        <v>42631</v>
      </c>
      <c r="K40" s="351">
        <v>2</v>
      </c>
      <c r="L40" s="351">
        <v>10000</v>
      </c>
      <c r="M40" s="351">
        <v>7000</v>
      </c>
      <c r="N40" s="351">
        <v>1.2999999999999999E-2</v>
      </c>
      <c r="O40" s="370">
        <f t="shared" si="2"/>
        <v>2.000013</v>
      </c>
      <c r="P40" s="351">
        <v>1.2E-2</v>
      </c>
      <c r="Q40" s="356">
        <f t="shared" si="3"/>
        <v>0.89076687525312348</v>
      </c>
      <c r="R40" s="351" t="str">
        <f t="shared" si="4"/>
        <v>M-001</v>
      </c>
      <c r="S40" s="371" t="s">
        <v>323</v>
      </c>
      <c r="AT40" s="325"/>
    </row>
    <row r="41" spans="3:46" ht="30" customHeight="1" x14ac:dyDescent="0.2">
      <c r="C41" s="663"/>
      <c r="D41" s="428" t="s">
        <v>201</v>
      </c>
      <c r="E41" s="351" t="s">
        <v>194</v>
      </c>
      <c r="F41" s="351" t="s">
        <v>177</v>
      </c>
      <c r="G41" s="351">
        <v>27129360</v>
      </c>
      <c r="H41" s="351" t="s">
        <v>202</v>
      </c>
      <c r="I41" s="351">
        <v>1230</v>
      </c>
      <c r="J41" s="352">
        <v>42631</v>
      </c>
      <c r="K41" s="351">
        <v>5</v>
      </c>
      <c r="L41" s="351">
        <v>15000</v>
      </c>
      <c r="M41" s="351">
        <v>8000</v>
      </c>
      <c r="N41" s="372">
        <v>-2E-3</v>
      </c>
      <c r="O41" s="370">
        <f t="shared" si="2"/>
        <v>4.9999979999999997</v>
      </c>
      <c r="P41" s="351">
        <v>1.6E-2</v>
      </c>
      <c r="Q41" s="356">
        <f t="shared" si="3"/>
        <v>0.89076687525312348</v>
      </c>
      <c r="R41" s="351" t="str">
        <f t="shared" si="4"/>
        <v>M-001</v>
      </c>
      <c r="S41" s="371" t="s">
        <v>323</v>
      </c>
      <c r="AT41" s="325"/>
    </row>
    <row r="42" spans="3:46" ht="30" customHeight="1" x14ac:dyDescent="0.2">
      <c r="C42" s="663"/>
      <c r="D42" s="428" t="s">
        <v>203</v>
      </c>
      <c r="E42" s="351" t="s">
        <v>194</v>
      </c>
      <c r="F42" s="351" t="s">
        <v>177</v>
      </c>
      <c r="G42" s="351">
        <v>27129360</v>
      </c>
      <c r="H42" s="351" t="s">
        <v>204</v>
      </c>
      <c r="I42" s="351">
        <v>1230</v>
      </c>
      <c r="J42" s="352">
        <v>42631</v>
      </c>
      <c r="K42" s="351">
        <v>10</v>
      </c>
      <c r="L42" s="351">
        <v>20000</v>
      </c>
      <c r="M42" s="351">
        <v>8200</v>
      </c>
      <c r="N42" s="351">
        <v>4.0000000000000001E-3</v>
      </c>
      <c r="O42" s="370">
        <f t="shared" si="2"/>
        <v>10.000004000000001</v>
      </c>
      <c r="P42" s="372">
        <v>0.02</v>
      </c>
      <c r="Q42" s="356">
        <f t="shared" si="3"/>
        <v>0.89076687525312348</v>
      </c>
      <c r="R42" s="351" t="str">
        <f t="shared" si="4"/>
        <v>M-001</v>
      </c>
      <c r="S42" s="371" t="s">
        <v>323</v>
      </c>
      <c r="AT42" s="325"/>
    </row>
    <row r="43" spans="3:46" ht="30" customHeight="1" x14ac:dyDescent="0.2">
      <c r="C43" s="663"/>
      <c r="D43" s="428" t="s">
        <v>205</v>
      </c>
      <c r="E43" s="351" t="s">
        <v>194</v>
      </c>
      <c r="F43" s="351" t="s">
        <v>177</v>
      </c>
      <c r="G43" s="351">
        <v>27129360</v>
      </c>
      <c r="H43" s="351" t="s">
        <v>206</v>
      </c>
      <c r="I43" s="351">
        <v>1230</v>
      </c>
      <c r="J43" s="352">
        <v>42631</v>
      </c>
      <c r="K43" s="351">
        <v>20</v>
      </c>
      <c r="L43" s="351">
        <v>25000</v>
      </c>
      <c r="M43" s="351">
        <v>10000</v>
      </c>
      <c r="N43" s="351">
        <v>2.7E-2</v>
      </c>
      <c r="O43" s="370">
        <f t="shared" si="2"/>
        <v>20.000026999999999</v>
      </c>
      <c r="P43" s="351">
        <v>2.5000000000000001E-2</v>
      </c>
      <c r="Q43" s="356">
        <f t="shared" si="3"/>
        <v>0.89076687525312348</v>
      </c>
      <c r="R43" s="351" t="str">
        <f t="shared" si="4"/>
        <v>M-001</v>
      </c>
      <c r="S43" s="371" t="s">
        <v>323</v>
      </c>
      <c r="AT43" s="325"/>
    </row>
    <row r="44" spans="3:46" ht="30" customHeight="1" x14ac:dyDescent="0.2">
      <c r="C44" s="663"/>
      <c r="D44" s="428" t="s">
        <v>207</v>
      </c>
      <c r="E44" s="351" t="s">
        <v>194</v>
      </c>
      <c r="F44" s="351" t="s">
        <v>177</v>
      </c>
      <c r="G44" s="351">
        <v>27129360</v>
      </c>
      <c r="H44" s="351" t="s">
        <v>208</v>
      </c>
      <c r="I44" s="351">
        <v>1230</v>
      </c>
      <c r="J44" s="352">
        <v>42631</v>
      </c>
      <c r="K44" s="351">
        <v>20</v>
      </c>
      <c r="L44" s="351">
        <v>30000</v>
      </c>
      <c r="M44" s="351">
        <v>12000</v>
      </c>
      <c r="N44" s="351">
        <v>7.0000000000000001E-3</v>
      </c>
      <c r="O44" s="370">
        <f t="shared" si="2"/>
        <v>20.000007</v>
      </c>
      <c r="P44" s="351">
        <v>2.5000000000000001E-2</v>
      </c>
      <c r="Q44" s="356">
        <f t="shared" si="3"/>
        <v>0.89076687525312348</v>
      </c>
      <c r="R44" s="351" t="str">
        <f t="shared" si="4"/>
        <v>M-001</v>
      </c>
      <c r="S44" s="371" t="s">
        <v>323</v>
      </c>
      <c r="AT44" s="325"/>
    </row>
    <row r="45" spans="3:46" ht="30" customHeight="1" x14ac:dyDescent="0.2">
      <c r="C45" s="663"/>
      <c r="D45" s="428" t="s">
        <v>209</v>
      </c>
      <c r="E45" s="351" t="s">
        <v>194</v>
      </c>
      <c r="F45" s="351" t="s">
        <v>177</v>
      </c>
      <c r="G45" s="351">
        <v>27129360</v>
      </c>
      <c r="H45" s="351" t="s">
        <v>210</v>
      </c>
      <c r="I45" s="351">
        <v>1230</v>
      </c>
      <c r="J45" s="352">
        <v>42631</v>
      </c>
      <c r="K45" s="351">
        <v>50</v>
      </c>
      <c r="L45" s="351">
        <v>40000</v>
      </c>
      <c r="M45" s="351">
        <v>15000</v>
      </c>
      <c r="N45" s="351">
        <v>0.03</v>
      </c>
      <c r="O45" s="353">
        <f t="shared" si="2"/>
        <v>50.000030000000002</v>
      </c>
      <c r="P45" s="351">
        <v>0.03</v>
      </c>
      <c r="Q45" s="356">
        <f t="shared" si="3"/>
        <v>0.89076687525312348</v>
      </c>
      <c r="R45" s="351" t="str">
        <f t="shared" si="4"/>
        <v>M-001</v>
      </c>
      <c r="S45" s="371" t="s">
        <v>323</v>
      </c>
      <c r="AT45" s="325"/>
    </row>
    <row r="46" spans="3:46" ht="30" customHeight="1" x14ac:dyDescent="0.2">
      <c r="C46" s="663"/>
      <c r="D46" s="428" t="s">
        <v>211</v>
      </c>
      <c r="E46" s="351" t="s">
        <v>194</v>
      </c>
      <c r="F46" s="351" t="s">
        <v>177</v>
      </c>
      <c r="G46" s="351">
        <v>27129360</v>
      </c>
      <c r="H46" s="351" t="s">
        <v>212</v>
      </c>
      <c r="I46" s="351">
        <v>1230</v>
      </c>
      <c r="J46" s="352">
        <v>42631</v>
      </c>
      <c r="K46" s="351">
        <v>100</v>
      </c>
      <c r="L46" s="373">
        <v>45000</v>
      </c>
      <c r="M46" s="373">
        <v>20000</v>
      </c>
      <c r="N46" s="351">
        <v>0.06</v>
      </c>
      <c r="O46" s="353">
        <f t="shared" si="2"/>
        <v>100.00006</v>
      </c>
      <c r="P46" s="351">
        <v>0.05</v>
      </c>
      <c r="Q46" s="356">
        <f t="shared" si="3"/>
        <v>0.89076687525312348</v>
      </c>
      <c r="R46" s="351" t="str">
        <f t="shared" si="4"/>
        <v>M-001</v>
      </c>
      <c r="S46" s="371" t="s">
        <v>323</v>
      </c>
      <c r="AT46" s="325"/>
    </row>
    <row r="47" spans="3:46" ht="30" customHeight="1" x14ac:dyDescent="0.2">
      <c r="C47" s="663"/>
      <c r="D47" s="428" t="s">
        <v>213</v>
      </c>
      <c r="E47" s="351" t="s">
        <v>194</v>
      </c>
      <c r="F47" s="351" t="s">
        <v>177</v>
      </c>
      <c r="G47" s="351">
        <v>27129360</v>
      </c>
      <c r="H47" s="351" t="s">
        <v>214</v>
      </c>
      <c r="I47" s="351">
        <v>1230</v>
      </c>
      <c r="J47" s="352">
        <v>42631</v>
      </c>
      <c r="K47" s="351">
        <v>200</v>
      </c>
      <c r="L47" s="373">
        <v>50000</v>
      </c>
      <c r="M47" s="373">
        <v>25000</v>
      </c>
      <c r="N47" s="351">
        <v>-0.06</v>
      </c>
      <c r="O47" s="353">
        <f t="shared" si="2"/>
        <v>199.99994000000001</v>
      </c>
      <c r="P47" s="354">
        <v>0.1</v>
      </c>
      <c r="Q47" s="356">
        <f t="shared" si="3"/>
        <v>0.89076687525312348</v>
      </c>
      <c r="R47" s="351" t="str">
        <f t="shared" si="4"/>
        <v>M-001</v>
      </c>
      <c r="S47" s="371" t="s">
        <v>323</v>
      </c>
      <c r="AT47" s="325"/>
    </row>
    <row r="48" spans="3:46" ht="30" customHeight="1" x14ac:dyDescent="0.2">
      <c r="C48" s="663"/>
      <c r="D48" s="428" t="s">
        <v>215</v>
      </c>
      <c r="E48" s="351" t="s">
        <v>194</v>
      </c>
      <c r="F48" s="351" t="s">
        <v>177</v>
      </c>
      <c r="G48" s="351">
        <v>27129360</v>
      </c>
      <c r="H48" s="351" t="s">
        <v>216</v>
      </c>
      <c r="I48" s="351">
        <v>1230</v>
      </c>
      <c r="J48" s="352">
        <v>42631</v>
      </c>
      <c r="K48" s="351">
        <v>200</v>
      </c>
      <c r="L48" s="469"/>
      <c r="M48" s="373">
        <v>30000</v>
      </c>
      <c r="N48" s="351">
        <v>0.16</v>
      </c>
      <c r="O48" s="353">
        <f t="shared" si="2"/>
        <v>200.00015999999999</v>
      </c>
      <c r="P48" s="354">
        <v>0.1</v>
      </c>
      <c r="Q48" s="356">
        <f t="shared" si="3"/>
        <v>0.89076687525312348</v>
      </c>
      <c r="R48" s="351" t="str">
        <f t="shared" si="4"/>
        <v>M-001</v>
      </c>
      <c r="S48" s="371" t="s">
        <v>323</v>
      </c>
      <c r="AT48" s="325"/>
    </row>
    <row r="49" spans="3:49" ht="30" customHeight="1" x14ac:dyDescent="0.2">
      <c r="C49" s="663"/>
      <c r="D49" s="428" t="s">
        <v>217</v>
      </c>
      <c r="E49" s="351" t="s">
        <v>194</v>
      </c>
      <c r="F49" s="351" t="s">
        <v>177</v>
      </c>
      <c r="G49" s="351">
        <v>27129360</v>
      </c>
      <c r="H49" s="351" t="s">
        <v>218</v>
      </c>
      <c r="I49" s="351">
        <v>1230</v>
      </c>
      <c r="J49" s="352">
        <v>42631</v>
      </c>
      <c r="K49" s="351">
        <v>500</v>
      </c>
      <c r="L49" s="469"/>
      <c r="M49" s="373">
        <v>35000</v>
      </c>
      <c r="N49" s="351">
        <v>0.35</v>
      </c>
      <c r="O49" s="353">
        <f t="shared" si="2"/>
        <v>500.00035000000003</v>
      </c>
      <c r="P49" s="351">
        <v>0.25</v>
      </c>
      <c r="Q49" s="356">
        <f t="shared" si="3"/>
        <v>0.89076687525312348</v>
      </c>
      <c r="R49" s="351" t="str">
        <f t="shared" si="4"/>
        <v>M-001</v>
      </c>
      <c r="S49" s="371" t="s">
        <v>323</v>
      </c>
      <c r="AT49" s="325"/>
    </row>
    <row r="50" spans="3:49" ht="30" customHeight="1" x14ac:dyDescent="0.2">
      <c r="C50" s="663"/>
      <c r="D50" s="428" t="s">
        <v>219</v>
      </c>
      <c r="E50" s="351" t="s">
        <v>194</v>
      </c>
      <c r="F50" s="351" t="s">
        <v>177</v>
      </c>
      <c r="G50" s="351">
        <v>27129360</v>
      </c>
      <c r="H50" s="351" t="s">
        <v>220</v>
      </c>
      <c r="I50" s="351">
        <v>1230</v>
      </c>
      <c r="J50" s="352">
        <v>42631</v>
      </c>
      <c r="K50" s="351">
        <v>1000</v>
      </c>
      <c r="L50" s="469"/>
      <c r="M50" s="373">
        <v>40000</v>
      </c>
      <c r="N50" s="351">
        <v>0.7</v>
      </c>
      <c r="O50" s="356">
        <f t="shared" si="2"/>
        <v>1000.0007000000001</v>
      </c>
      <c r="P50" s="351">
        <v>0.5</v>
      </c>
      <c r="Q50" s="356">
        <f t="shared" si="3"/>
        <v>0.89076687525312348</v>
      </c>
      <c r="R50" s="351" t="str">
        <f t="shared" si="4"/>
        <v>M-001</v>
      </c>
      <c r="S50" s="371" t="s">
        <v>323</v>
      </c>
      <c r="AT50" s="325"/>
    </row>
    <row r="51" spans="3:49" ht="30" customHeight="1" x14ac:dyDescent="0.2">
      <c r="C51" s="663"/>
      <c r="D51" s="428" t="s">
        <v>221</v>
      </c>
      <c r="E51" s="351" t="s">
        <v>194</v>
      </c>
      <c r="F51" s="351" t="s">
        <v>177</v>
      </c>
      <c r="G51" s="351">
        <v>27129360</v>
      </c>
      <c r="H51" s="351" t="s">
        <v>222</v>
      </c>
      <c r="I51" s="351">
        <v>1230</v>
      </c>
      <c r="J51" s="352">
        <v>42631</v>
      </c>
      <c r="K51" s="351">
        <v>2000</v>
      </c>
      <c r="L51" s="469"/>
      <c r="M51" s="373">
        <v>45000</v>
      </c>
      <c r="N51" s="351">
        <v>1.2</v>
      </c>
      <c r="O51" s="356">
        <f t="shared" si="2"/>
        <v>2000.0011999999999</v>
      </c>
      <c r="P51" s="357">
        <v>1</v>
      </c>
      <c r="Q51" s="356">
        <f t="shared" si="3"/>
        <v>0.89076687525312348</v>
      </c>
      <c r="R51" s="351" t="str">
        <f t="shared" si="4"/>
        <v>M-001</v>
      </c>
      <c r="S51" s="371" t="s">
        <v>323</v>
      </c>
      <c r="AT51" s="325"/>
    </row>
    <row r="52" spans="3:49" ht="30" customHeight="1" x14ac:dyDescent="0.2">
      <c r="C52" s="663"/>
      <c r="D52" s="428" t="s">
        <v>223</v>
      </c>
      <c r="E52" s="351" t="s">
        <v>194</v>
      </c>
      <c r="F52" s="351" t="s">
        <v>177</v>
      </c>
      <c r="G52" s="351">
        <v>27129360</v>
      </c>
      <c r="H52" s="351" t="s">
        <v>224</v>
      </c>
      <c r="I52" s="351">
        <v>1230</v>
      </c>
      <c r="J52" s="352">
        <v>42631</v>
      </c>
      <c r="K52" s="351">
        <v>2000</v>
      </c>
      <c r="L52" s="469"/>
      <c r="M52" s="373">
        <v>50000</v>
      </c>
      <c r="N52" s="351">
        <v>1.1000000000000001</v>
      </c>
      <c r="O52" s="356">
        <f t="shared" si="2"/>
        <v>2000.0011</v>
      </c>
      <c r="P52" s="357">
        <v>1</v>
      </c>
      <c r="Q52" s="356">
        <f t="shared" si="3"/>
        <v>0.89076687525312348</v>
      </c>
      <c r="R52" s="351" t="str">
        <f t="shared" si="4"/>
        <v>M-001</v>
      </c>
      <c r="S52" s="371" t="s">
        <v>323</v>
      </c>
      <c r="AT52" s="325"/>
    </row>
    <row r="53" spans="3:49" ht="30" customHeight="1" x14ac:dyDescent="0.2">
      <c r="C53" s="663"/>
      <c r="D53" s="428" t="s">
        <v>225</v>
      </c>
      <c r="E53" s="351" t="s">
        <v>194</v>
      </c>
      <c r="F53" s="351" t="s">
        <v>177</v>
      </c>
      <c r="G53" s="351">
        <v>27129360</v>
      </c>
      <c r="H53" s="351" t="s">
        <v>226</v>
      </c>
      <c r="I53" s="351">
        <v>1230</v>
      </c>
      <c r="J53" s="352">
        <v>42631</v>
      </c>
      <c r="K53" s="351">
        <v>5000</v>
      </c>
      <c r="L53" s="469"/>
      <c r="M53" s="469"/>
      <c r="N53" s="351">
        <v>3.7</v>
      </c>
      <c r="O53" s="356">
        <f t="shared" si="2"/>
        <v>5000.0037000000002</v>
      </c>
      <c r="P53" s="351">
        <v>2.5</v>
      </c>
      <c r="Q53" s="356">
        <f t="shared" si="3"/>
        <v>0.89076687525312348</v>
      </c>
      <c r="R53" s="351" t="str">
        <f t="shared" si="4"/>
        <v>M-001</v>
      </c>
      <c r="S53" s="371" t="s">
        <v>323</v>
      </c>
      <c r="AT53" s="325"/>
    </row>
    <row r="54" spans="3:49" ht="30" customHeight="1" thickBot="1" x14ac:dyDescent="0.25">
      <c r="C54" s="664"/>
      <c r="D54" s="493" t="s">
        <v>227</v>
      </c>
      <c r="E54" s="359" t="s">
        <v>194</v>
      </c>
      <c r="F54" s="359" t="s">
        <v>177</v>
      </c>
      <c r="G54" s="359">
        <v>27129360</v>
      </c>
      <c r="H54" s="359" t="s">
        <v>228</v>
      </c>
      <c r="I54" s="359">
        <v>1230</v>
      </c>
      <c r="J54" s="360">
        <v>42631</v>
      </c>
      <c r="K54" s="359">
        <v>10000</v>
      </c>
      <c r="L54" s="494"/>
      <c r="M54" s="494"/>
      <c r="N54" s="359">
        <v>8.6999999999999993</v>
      </c>
      <c r="O54" s="361">
        <f t="shared" si="2"/>
        <v>10000.0087</v>
      </c>
      <c r="P54" s="387">
        <v>5</v>
      </c>
      <c r="Q54" s="361">
        <f t="shared" si="3"/>
        <v>0.89076687525312348</v>
      </c>
      <c r="R54" s="359" t="str">
        <f t="shared" si="4"/>
        <v>M-001</v>
      </c>
      <c r="S54" s="443" t="s">
        <v>323</v>
      </c>
      <c r="AT54" s="325"/>
    </row>
    <row r="55" spans="3:49" ht="30" customHeight="1" x14ac:dyDescent="0.2">
      <c r="C55" s="659" t="s">
        <v>325</v>
      </c>
      <c r="D55" s="363" t="s">
        <v>229</v>
      </c>
      <c r="E55" s="364" t="s">
        <v>230</v>
      </c>
      <c r="F55" s="364" t="s">
        <v>328</v>
      </c>
      <c r="G55" s="364">
        <v>11119515</v>
      </c>
      <c r="H55" s="364">
        <v>1</v>
      </c>
      <c r="I55" s="364">
        <v>100405</v>
      </c>
      <c r="J55" s="365">
        <v>42615</v>
      </c>
      <c r="K55" s="364">
        <v>1</v>
      </c>
      <c r="L55" s="479"/>
      <c r="M55" s="479"/>
      <c r="N55" s="364">
        <v>0.04</v>
      </c>
      <c r="O55" s="495">
        <f t="shared" si="2"/>
        <v>1.00004</v>
      </c>
      <c r="P55" s="364">
        <v>0.03</v>
      </c>
      <c r="Q55" s="368">
        <f>(0.34848*((750.3+756.2)/2)-0.009024*((43.6+60.2)/2)*EXP(0.0612*((19.1+21.1)/2)))/(273.15+((19.1+21.1)/2))</f>
        <v>0.88965063908070108</v>
      </c>
      <c r="R55" s="364" t="s">
        <v>231</v>
      </c>
      <c r="S55" s="369" t="s">
        <v>323</v>
      </c>
      <c r="AT55" s="325"/>
      <c r="AU55" s="320"/>
      <c r="AV55" s="320"/>
    </row>
    <row r="56" spans="3:49" ht="30" customHeight="1" x14ac:dyDescent="0.2">
      <c r="C56" s="660"/>
      <c r="D56" s="350" t="s">
        <v>232</v>
      </c>
      <c r="E56" s="351" t="s">
        <v>230</v>
      </c>
      <c r="F56" s="351" t="s">
        <v>328</v>
      </c>
      <c r="G56" s="351">
        <v>11119515</v>
      </c>
      <c r="H56" s="351" t="s">
        <v>234</v>
      </c>
      <c r="I56" s="351">
        <v>100405</v>
      </c>
      <c r="J56" s="352">
        <f>J55</f>
        <v>42615</v>
      </c>
      <c r="K56" s="351">
        <v>2</v>
      </c>
      <c r="L56" s="469"/>
      <c r="M56" s="469"/>
      <c r="N56" s="351">
        <v>0.06</v>
      </c>
      <c r="O56" s="353">
        <f t="shared" si="2"/>
        <v>2.0000599999999999</v>
      </c>
      <c r="P56" s="351">
        <v>0.04</v>
      </c>
      <c r="Q56" s="356">
        <f t="shared" ref="Q56:Q70" si="5">(0.34848*((750.3+756.2)/2)-0.009024*((43.6+60.2)/2)*EXP(0.0612*((19.1+21.1)/2)))/(273.15+((19.1+21.1)/2))</f>
        <v>0.88965063908070108</v>
      </c>
      <c r="R56" s="351" t="str">
        <f t="shared" ref="R56:R70" si="6">R55</f>
        <v>M-002</v>
      </c>
      <c r="S56" s="371" t="s">
        <v>323</v>
      </c>
      <c r="AT56" s="325"/>
      <c r="AU56" s="320"/>
      <c r="AV56" s="320"/>
    </row>
    <row r="57" spans="3:49" ht="30" customHeight="1" x14ac:dyDescent="0.2">
      <c r="C57" s="660"/>
      <c r="D57" s="350" t="s">
        <v>233</v>
      </c>
      <c r="E57" s="351" t="s">
        <v>230</v>
      </c>
      <c r="F57" s="351" t="s">
        <v>328</v>
      </c>
      <c r="G57" s="351">
        <v>11119515</v>
      </c>
      <c r="H57" s="351">
        <v>2</v>
      </c>
      <c r="I57" s="351">
        <v>100405</v>
      </c>
      <c r="J57" s="352">
        <f t="shared" ref="J57:J70" si="7">J56</f>
        <v>42615</v>
      </c>
      <c r="K57" s="351">
        <v>2</v>
      </c>
      <c r="L57" s="469"/>
      <c r="M57" s="469"/>
      <c r="N57" s="351">
        <v>0.04</v>
      </c>
      <c r="O57" s="353">
        <f t="shared" si="2"/>
        <v>2.0000399999999998</v>
      </c>
      <c r="P57" s="351">
        <v>0.04</v>
      </c>
      <c r="Q57" s="356">
        <f t="shared" si="5"/>
        <v>0.88965063908070108</v>
      </c>
      <c r="R57" s="351" t="str">
        <f t="shared" si="6"/>
        <v>M-002</v>
      </c>
      <c r="S57" s="371" t="s">
        <v>323</v>
      </c>
      <c r="AT57" s="325"/>
      <c r="AU57" s="320"/>
      <c r="AV57" s="320"/>
    </row>
    <row r="58" spans="3:49" ht="30" customHeight="1" x14ac:dyDescent="0.2">
      <c r="C58" s="660"/>
      <c r="D58" s="350" t="s">
        <v>235</v>
      </c>
      <c r="E58" s="351" t="s">
        <v>230</v>
      </c>
      <c r="F58" s="351" t="s">
        <v>328</v>
      </c>
      <c r="G58" s="351">
        <v>11119515</v>
      </c>
      <c r="H58" s="351">
        <v>5</v>
      </c>
      <c r="I58" s="351">
        <v>100405</v>
      </c>
      <c r="J58" s="352">
        <f t="shared" si="7"/>
        <v>42615</v>
      </c>
      <c r="K58" s="351">
        <v>5</v>
      </c>
      <c r="L58" s="373"/>
      <c r="M58" s="469"/>
      <c r="N58" s="354">
        <v>0</v>
      </c>
      <c r="O58" s="353">
        <f t="shared" si="2"/>
        <v>5</v>
      </c>
      <c r="P58" s="351">
        <v>0.05</v>
      </c>
      <c r="Q58" s="356">
        <f t="shared" si="5"/>
        <v>0.88965063908070108</v>
      </c>
      <c r="R58" s="351" t="str">
        <f t="shared" si="6"/>
        <v>M-002</v>
      </c>
      <c r="S58" s="371" t="s">
        <v>323</v>
      </c>
      <c r="AT58" s="325"/>
      <c r="AU58" s="320"/>
      <c r="AV58" s="320"/>
    </row>
    <row r="59" spans="3:49" ht="30" customHeight="1" x14ac:dyDescent="0.2">
      <c r="C59" s="660"/>
      <c r="D59" s="350" t="s">
        <v>237</v>
      </c>
      <c r="E59" s="351" t="s">
        <v>230</v>
      </c>
      <c r="F59" s="351" t="s">
        <v>328</v>
      </c>
      <c r="G59" s="351">
        <v>11119515</v>
      </c>
      <c r="H59" s="351">
        <v>10</v>
      </c>
      <c r="I59" s="351">
        <v>100405</v>
      </c>
      <c r="J59" s="352">
        <f t="shared" si="7"/>
        <v>42615</v>
      </c>
      <c r="K59" s="351">
        <v>10</v>
      </c>
      <c r="L59" s="373"/>
      <c r="M59" s="469"/>
      <c r="N59" s="351">
        <v>0.05</v>
      </c>
      <c r="O59" s="353">
        <f t="shared" si="2"/>
        <v>10.00005</v>
      </c>
      <c r="P59" s="351">
        <v>0.06</v>
      </c>
      <c r="Q59" s="356">
        <f t="shared" si="5"/>
        <v>0.88965063908070108</v>
      </c>
      <c r="R59" s="351" t="str">
        <f t="shared" si="6"/>
        <v>M-002</v>
      </c>
      <c r="S59" s="371" t="s">
        <v>323</v>
      </c>
      <c r="AT59" s="325"/>
      <c r="AU59" s="320"/>
      <c r="AV59" s="320"/>
    </row>
    <row r="60" spans="3:49" ht="30" customHeight="1" x14ac:dyDescent="0.2">
      <c r="C60" s="660"/>
      <c r="D60" s="350" t="s">
        <v>239</v>
      </c>
      <c r="E60" s="351" t="s">
        <v>230</v>
      </c>
      <c r="F60" s="351" t="s">
        <v>328</v>
      </c>
      <c r="G60" s="351">
        <v>11119515</v>
      </c>
      <c r="H60" s="351" t="s">
        <v>241</v>
      </c>
      <c r="I60" s="351">
        <v>100405</v>
      </c>
      <c r="J60" s="352">
        <f t="shared" si="7"/>
        <v>42615</v>
      </c>
      <c r="K60" s="351">
        <v>20</v>
      </c>
      <c r="L60" s="373"/>
      <c r="M60" s="469"/>
      <c r="N60" s="351">
        <v>7.0000000000000007E-2</v>
      </c>
      <c r="O60" s="353">
        <f t="shared" si="2"/>
        <v>20.000070000000001</v>
      </c>
      <c r="P60" s="351">
        <v>0.08</v>
      </c>
      <c r="Q60" s="356">
        <f t="shared" si="5"/>
        <v>0.88965063908070108</v>
      </c>
      <c r="R60" s="351" t="str">
        <f t="shared" si="6"/>
        <v>M-002</v>
      </c>
      <c r="S60" s="371" t="s">
        <v>323</v>
      </c>
      <c r="AT60" s="325"/>
      <c r="AU60" s="320"/>
      <c r="AV60" s="320"/>
    </row>
    <row r="61" spans="3:49" ht="30" customHeight="1" x14ac:dyDescent="0.2">
      <c r="C61" s="660"/>
      <c r="D61" s="350" t="s">
        <v>240</v>
      </c>
      <c r="E61" s="351" t="s">
        <v>230</v>
      </c>
      <c r="F61" s="351" t="s">
        <v>328</v>
      </c>
      <c r="G61" s="351">
        <v>11119515</v>
      </c>
      <c r="H61" s="351">
        <v>20</v>
      </c>
      <c r="I61" s="351">
        <v>100405</v>
      </c>
      <c r="J61" s="352">
        <f t="shared" si="7"/>
        <v>42615</v>
      </c>
      <c r="K61" s="351">
        <v>20</v>
      </c>
      <c r="L61" s="373"/>
      <c r="M61" s="469"/>
      <c r="N61" s="351">
        <v>0.08</v>
      </c>
      <c r="O61" s="353">
        <f t="shared" si="2"/>
        <v>20.000080000000001</v>
      </c>
      <c r="P61" s="351">
        <v>0.08</v>
      </c>
      <c r="Q61" s="356">
        <f t="shared" si="5"/>
        <v>0.88965063908070108</v>
      </c>
      <c r="R61" s="351" t="str">
        <f t="shared" si="6"/>
        <v>M-002</v>
      </c>
      <c r="S61" s="371" t="s">
        <v>323</v>
      </c>
      <c r="AT61" s="325"/>
      <c r="AU61" s="320"/>
      <c r="AV61" s="320"/>
    </row>
    <row r="62" spans="3:49" ht="30" customHeight="1" x14ac:dyDescent="0.2">
      <c r="C62" s="660"/>
      <c r="D62" s="350" t="s">
        <v>242</v>
      </c>
      <c r="E62" s="351" t="s">
        <v>230</v>
      </c>
      <c r="F62" s="351" t="s">
        <v>328</v>
      </c>
      <c r="G62" s="351">
        <v>11119515</v>
      </c>
      <c r="H62" s="351">
        <v>50</v>
      </c>
      <c r="I62" s="351">
        <v>100405</v>
      </c>
      <c r="J62" s="352">
        <f t="shared" si="7"/>
        <v>42615</v>
      </c>
      <c r="K62" s="351">
        <v>50</v>
      </c>
      <c r="L62" s="373"/>
      <c r="M62" s="469"/>
      <c r="N62" s="351">
        <v>0.19</v>
      </c>
      <c r="O62" s="353">
        <f t="shared" si="2"/>
        <v>50.000190000000003</v>
      </c>
      <c r="P62" s="354">
        <v>0.1</v>
      </c>
      <c r="Q62" s="356">
        <f t="shared" si="5"/>
        <v>0.88965063908070108</v>
      </c>
      <c r="R62" s="351" t="str">
        <f t="shared" si="6"/>
        <v>M-002</v>
      </c>
      <c r="S62" s="371" t="s">
        <v>323</v>
      </c>
      <c r="AT62" s="325"/>
      <c r="AU62" s="320"/>
      <c r="AV62" s="320"/>
    </row>
    <row r="63" spans="3:49" ht="30" customHeight="1" x14ac:dyDescent="0.2">
      <c r="C63" s="660"/>
      <c r="D63" s="350" t="s">
        <v>243</v>
      </c>
      <c r="E63" s="351" t="s">
        <v>230</v>
      </c>
      <c r="F63" s="351" t="s">
        <v>328</v>
      </c>
      <c r="G63" s="351">
        <v>11119515</v>
      </c>
      <c r="H63" s="351">
        <v>100</v>
      </c>
      <c r="I63" s="351">
        <v>100405</v>
      </c>
      <c r="J63" s="352">
        <f t="shared" si="7"/>
        <v>42615</v>
      </c>
      <c r="K63" s="351">
        <v>100</v>
      </c>
      <c r="L63" s="373"/>
      <c r="M63" s="469"/>
      <c r="N63" s="351">
        <v>0.13</v>
      </c>
      <c r="O63" s="353">
        <f t="shared" si="2"/>
        <v>100.00013</v>
      </c>
      <c r="P63" s="351">
        <v>0.16</v>
      </c>
      <c r="Q63" s="356">
        <f t="shared" si="5"/>
        <v>0.88965063908070108</v>
      </c>
      <c r="R63" s="351" t="str">
        <f t="shared" si="6"/>
        <v>M-002</v>
      </c>
      <c r="S63" s="371" t="s">
        <v>323</v>
      </c>
      <c r="AU63" s="325"/>
      <c r="AV63" s="320"/>
      <c r="AW63" s="320"/>
    </row>
    <row r="64" spans="3:49" ht="30" customHeight="1" x14ac:dyDescent="0.2">
      <c r="C64" s="660"/>
      <c r="D64" s="350" t="s">
        <v>245</v>
      </c>
      <c r="E64" s="351" t="s">
        <v>230</v>
      </c>
      <c r="F64" s="351" t="s">
        <v>328</v>
      </c>
      <c r="G64" s="351">
        <v>11119515</v>
      </c>
      <c r="H64" s="351" t="s">
        <v>247</v>
      </c>
      <c r="I64" s="351">
        <v>100405</v>
      </c>
      <c r="J64" s="352">
        <f t="shared" si="7"/>
        <v>42615</v>
      </c>
      <c r="K64" s="351">
        <v>200</v>
      </c>
      <c r="L64" s="373"/>
      <c r="M64" s="469"/>
      <c r="N64" s="351">
        <v>0.2</v>
      </c>
      <c r="O64" s="356">
        <f t="shared" si="2"/>
        <v>200.00020000000001</v>
      </c>
      <c r="P64" s="351">
        <v>0.3</v>
      </c>
      <c r="Q64" s="356">
        <f t="shared" si="5"/>
        <v>0.88965063908070108</v>
      </c>
      <c r="R64" s="351" t="str">
        <f t="shared" si="6"/>
        <v>M-002</v>
      </c>
      <c r="S64" s="371" t="s">
        <v>323</v>
      </c>
      <c r="AU64" s="325"/>
      <c r="AV64" s="320"/>
      <c r="AW64" s="320"/>
    </row>
    <row r="65" spans="3:51" ht="30" customHeight="1" x14ac:dyDescent="0.2">
      <c r="C65" s="660"/>
      <c r="D65" s="350" t="s">
        <v>246</v>
      </c>
      <c r="E65" s="351" t="s">
        <v>230</v>
      </c>
      <c r="F65" s="351" t="s">
        <v>328</v>
      </c>
      <c r="G65" s="351">
        <v>11119515</v>
      </c>
      <c r="H65" s="351">
        <v>200</v>
      </c>
      <c r="I65" s="351">
        <v>100405</v>
      </c>
      <c r="J65" s="352">
        <f t="shared" si="7"/>
        <v>42615</v>
      </c>
      <c r="K65" s="351">
        <v>200</v>
      </c>
      <c r="L65" s="373"/>
      <c r="M65" s="469"/>
      <c r="N65" s="351">
        <v>0.3</v>
      </c>
      <c r="O65" s="356">
        <f t="shared" si="2"/>
        <v>200.00030000000001</v>
      </c>
      <c r="P65" s="351">
        <v>0.3</v>
      </c>
      <c r="Q65" s="356">
        <f t="shared" si="5"/>
        <v>0.88965063908070108</v>
      </c>
      <c r="R65" s="351" t="str">
        <f t="shared" si="6"/>
        <v>M-002</v>
      </c>
      <c r="S65" s="371" t="s">
        <v>323</v>
      </c>
      <c r="AU65" s="325"/>
      <c r="AV65" s="320"/>
      <c r="AW65" s="320"/>
    </row>
    <row r="66" spans="3:51" ht="30" customHeight="1" x14ac:dyDescent="0.2">
      <c r="C66" s="660"/>
      <c r="D66" s="350" t="s">
        <v>248</v>
      </c>
      <c r="E66" s="351" t="s">
        <v>230</v>
      </c>
      <c r="F66" s="351" t="s">
        <v>328</v>
      </c>
      <c r="G66" s="351">
        <v>11119515</v>
      </c>
      <c r="H66" s="351">
        <v>500</v>
      </c>
      <c r="I66" s="351">
        <v>100405</v>
      </c>
      <c r="J66" s="352">
        <f t="shared" si="7"/>
        <v>42615</v>
      </c>
      <c r="K66" s="351">
        <v>500</v>
      </c>
      <c r="L66" s="373"/>
      <c r="M66" s="469"/>
      <c r="N66" s="351">
        <v>0.8</v>
      </c>
      <c r="O66" s="356">
        <f t="shared" si="2"/>
        <v>500.00080000000003</v>
      </c>
      <c r="P66" s="351">
        <v>0.8</v>
      </c>
      <c r="Q66" s="356">
        <f t="shared" si="5"/>
        <v>0.88965063908070108</v>
      </c>
      <c r="R66" s="351" t="str">
        <f t="shared" si="6"/>
        <v>M-002</v>
      </c>
      <c r="S66" s="371" t="s">
        <v>323</v>
      </c>
      <c r="AJ66" s="384"/>
      <c r="AK66" s="384"/>
      <c r="AL66" s="384"/>
      <c r="AR66" s="385"/>
      <c r="AS66" s="385"/>
      <c r="AT66" s="325"/>
      <c r="AU66" s="325"/>
      <c r="AV66" s="320"/>
      <c r="AW66" s="320"/>
    </row>
    <row r="67" spans="3:51" ht="30" customHeight="1" x14ac:dyDescent="0.2">
      <c r="C67" s="660"/>
      <c r="D67" s="350" t="s">
        <v>249</v>
      </c>
      <c r="E67" s="351" t="s">
        <v>230</v>
      </c>
      <c r="F67" s="351" t="s">
        <v>328</v>
      </c>
      <c r="G67" s="351">
        <v>11119515</v>
      </c>
      <c r="H67" s="351">
        <v>1</v>
      </c>
      <c r="I67" s="351">
        <v>100405</v>
      </c>
      <c r="J67" s="352">
        <f t="shared" si="7"/>
        <v>42615</v>
      </c>
      <c r="K67" s="351">
        <v>1000</v>
      </c>
      <c r="L67" s="373"/>
      <c r="M67" s="373"/>
      <c r="N67" s="351">
        <v>1.9</v>
      </c>
      <c r="O67" s="356">
        <f t="shared" si="2"/>
        <v>1000.0019</v>
      </c>
      <c r="P67" s="351">
        <v>1.6</v>
      </c>
      <c r="Q67" s="356">
        <f t="shared" si="5"/>
        <v>0.88965063908070108</v>
      </c>
      <c r="R67" s="351" t="str">
        <f t="shared" si="6"/>
        <v>M-002</v>
      </c>
      <c r="S67" s="371" t="s">
        <v>323</v>
      </c>
      <c r="AJ67" s="386"/>
      <c r="AK67" s="386"/>
      <c r="AL67" s="386"/>
      <c r="AR67" s="386"/>
      <c r="AS67" s="386"/>
      <c r="AT67" s="386"/>
      <c r="AU67" s="386"/>
      <c r="AV67" s="386"/>
      <c r="AW67" s="386"/>
      <c r="AX67" s="386"/>
      <c r="AY67" s="386"/>
    </row>
    <row r="68" spans="3:51" ht="30" customHeight="1" x14ac:dyDescent="0.2">
      <c r="C68" s="660"/>
      <c r="D68" s="350" t="s">
        <v>250</v>
      </c>
      <c r="E68" s="351" t="s">
        <v>230</v>
      </c>
      <c r="F68" s="351" t="s">
        <v>328</v>
      </c>
      <c r="G68" s="351">
        <v>11119515</v>
      </c>
      <c r="H68" s="351" t="s">
        <v>234</v>
      </c>
      <c r="I68" s="351">
        <v>100405</v>
      </c>
      <c r="J68" s="352">
        <f t="shared" si="7"/>
        <v>42615</v>
      </c>
      <c r="K68" s="351">
        <v>2000</v>
      </c>
      <c r="L68" s="373"/>
      <c r="M68" s="373"/>
      <c r="N68" s="357">
        <v>2.2000000000000002</v>
      </c>
      <c r="O68" s="356">
        <f t="shared" si="2"/>
        <v>2000.0021999999999</v>
      </c>
      <c r="P68" s="357">
        <v>3</v>
      </c>
      <c r="Q68" s="383">
        <f t="shared" si="5"/>
        <v>0.88965063908070108</v>
      </c>
      <c r="R68" s="351" t="str">
        <f t="shared" si="6"/>
        <v>M-002</v>
      </c>
      <c r="S68" s="349" t="s">
        <v>323</v>
      </c>
      <c r="AF68" s="386"/>
      <c r="AG68" s="386"/>
      <c r="AH68" s="386"/>
      <c r="AI68" s="386"/>
      <c r="AJ68" s="386"/>
      <c r="AK68" s="386"/>
      <c r="AL68" s="386"/>
      <c r="AR68" s="386"/>
      <c r="AS68" s="386"/>
      <c r="AT68" s="386"/>
      <c r="AU68" s="386"/>
      <c r="AV68" s="386"/>
      <c r="AW68" s="386"/>
      <c r="AX68" s="386"/>
      <c r="AY68" s="386"/>
    </row>
    <row r="69" spans="3:51" ht="30" customHeight="1" x14ac:dyDescent="0.2">
      <c r="C69" s="660"/>
      <c r="D69" s="350" t="s">
        <v>251</v>
      </c>
      <c r="E69" s="351" t="s">
        <v>230</v>
      </c>
      <c r="F69" s="351" t="s">
        <v>328</v>
      </c>
      <c r="G69" s="351">
        <v>11119515</v>
      </c>
      <c r="H69" s="351">
        <v>2</v>
      </c>
      <c r="I69" s="351">
        <v>100405</v>
      </c>
      <c r="J69" s="352">
        <f t="shared" si="7"/>
        <v>42615</v>
      </c>
      <c r="K69" s="351">
        <v>2000</v>
      </c>
      <c r="L69" s="373"/>
      <c r="M69" s="373"/>
      <c r="N69" s="357">
        <v>2</v>
      </c>
      <c r="O69" s="356">
        <f t="shared" si="2"/>
        <v>2000.002</v>
      </c>
      <c r="P69" s="357">
        <v>3</v>
      </c>
      <c r="Q69" s="383">
        <f t="shared" si="5"/>
        <v>0.88965063908070108</v>
      </c>
      <c r="R69" s="351" t="str">
        <f t="shared" si="6"/>
        <v>M-002</v>
      </c>
      <c r="S69" s="349" t="s">
        <v>323</v>
      </c>
      <c r="T69" s="319"/>
      <c r="U69" s="319"/>
      <c r="V69" s="319"/>
      <c r="W69" s="319"/>
      <c r="X69" s="319"/>
      <c r="Y69" s="319"/>
      <c r="Z69" s="386"/>
      <c r="AA69" s="386"/>
      <c r="AB69" s="386"/>
      <c r="AC69" s="386"/>
      <c r="AD69" s="386"/>
      <c r="AE69" s="386"/>
      <c r="AF69" s="386"/>
      <c r="AG69" s="386"/>
      <c r="AH69" s="386"/>
      <c r="AI69" s="386"/>
      <c r="AJ69" s="386"/>
      <c r="AK69" s="386"/>
      <c r="AL69" s="386"/>
      <c r="AR69" s="386"/>
      <c r="AS69" s="386"/>
      <c r="AT69" s="386"/>
      <c r="AU69" s="386"/>
      <c r="AV69" s="386"/>
      <c r="AW69" s="386"/>
      <c r="AX69" s="386"/>
      <c r="AY69" s="386"/>
    </row>
    <row r="70" spans="3:51" ht="30" customHeight="1" thickBot="1" x14ac:dyDescent="0.25">
      <c r="C70" s="661"/>
      <c r="D70" s="374" t="s">
        <v>252</v>
      </c>
      <c r="E70" s="375" t="s">
        <v>230</v>
      </c>
      <c r="F70" s="375" t="s">
        <v>328</v>
      </c>
      <c r="G70" s="375">
        <v>11119515</v>
      </c>
      <c r="H70" s="375">
        <v>5</v>
      </c>
      <c r="I70" s="375">
        <v>100405</v>
      </c>
      <c r="J70" s="376">
        <f t="shared" si="7"/>
        <v>42615</v>
      </c>
      <c r="K70" s="375">
        <v>5000</v>
      </c>
      <c r="L70" s="377"/>
      <c r="M70" s="377"/>
      <c r="N70" s="375">
        <v>5.9</v>
      </c>
      <c r="O70" s="496">
        <f t="shared" si="2"/>
        <v>5000.0059000000001</v>
      </c>
      <c r="P70" s="379">
        <v>8</v>
      </c>
      <c r="Q70" s="393">
        <f t="shared" si="5"/>
        <v>0.88965063908070108</v>
      </c>
      <c r="R70" s="375" t="str">
        <f t="shared" si="6"/>
        <v>M-002</v>
      </c>
      <c r="S70" s="394" t="s">
        <v>323</v>
      </c>
      <c r="T70" s="319"/>
      <c r="U70" s="319"/>
      <c r="V70" s="319"/>
      <c r="W70" s="319"/>
      <c r="X70" s="319"/>
      <c r="Y70" s="319"/>
      <c r="Z70" s="386"/>
      <c r="AA70" s="386"/>
      <c r="AB70" s="386"/>
      <c r="AC70" s="386"/>
      <c r="AD70" s="386"/>
      <c r="AE70" s="386"/>
      <c r="AF70" s="386"/>
      <c r="AG70" s="386"/>
      <c r="AH70" s="386"/>
      <c r="AI70" s="386"/>
      <c r="AJ70" s="386"/>
      <c r="AK70" s="386"/>
      <c r="AL70" s="386"/>
      <c r="AR70" s="386"/>
      <c r="AS70" s="386"/>
      <c r="AT70" s="386"/>
      <c r="AU70" s="386"/>
      <c r="AV70" s="386"/>
      <c r="AW70" s="386"/>
      <c r="AX70" s="386"/>
      <c r="AY70" s="386"/>
    </row>
    <row r="71" spans="3:51" ht="30" customHeight="1" thickBot="1" x14ac:dyDescent="0.25">
      <c r="C71" s="390" t="s">
        <v>327</v>
      </c>
      <c r="D71" s="363" t="s">
        <v>253</v>
      </c>
      <c r="E71" s="364" t="s">
        <v>230</v>
      </c>
      <c r="F71" s="364" t="s">
        <v>328</v>
      </c>
      <c r="G71" s="364">
        <v>11119467</v>
      </c>
      <c r="H71" s="364">
        <v>10</v>
      </c>
      <c r="I71" s="364">
        <v>1257</v>
      </c>
      <c r="J71" s="365">
        <v>42692</v>
      </c>
      <c r="K71" s="364">
        <v>10000</v>
      </c>
      <c r="L71" s="391"/>
      <c r="M71" s="391"/>
      <c r="N71" s="364">
        <v>8</v>
      </c>
      <c r="O71" s="367">
        <f t="shared" si="2"/>
        <v>10000.008</v>
      </c>
      <c r="P71" s="364">
        <v>16</v>
      </c>
      <c r="Q71" s="348">
        <f>(0.34848*((750.712+752.294)/2)-0.009024*((52.2+56.3)/2)*EXP(0.0612*((20.3+20.4)/2)))/(273.15+((20.3+20.4)/2))</f>
        <v>0.88648336980110287</v>
      </c>
      <c r="R71" s="364" t="s">
        <v>254</v>
      </c>
      <c r="S71" s="369" t="s">
        <v>323</v>
      </c>
      <c r="T71" s="319"/>
      <c r="U71" s="319"/>
      <c r="V71" s="319"/>
      <c r="W71" s="319"/>
      <c r="X71" s="319"/>
      <c r="Y71" s="319"/>
      <c r="Z71" s="386"/>
      <c r="AA71" s="386"/>
      <c r="AB71" s="386"/>
      <c r="AC71" s="386"/>
      <c r="AD71" s="386"/>
      <c r="AE71" s="386"/>
      <c r="AF71" s="386"/>
      <c r="AG71" s="386"/>
      <c r="AH71" s="386"/>
      <c r="AI71" s="386"/>
      <c r="AJ71" s="386"/>
      <c r="AK71" s="386"/>
      <c r="AL71" s="386"/>
      <c r="AR71" s="386"/>
      <c r="AS71" s="386"/>
      <c r="AT71" s="386"/>
      <c r="AU71" s="386"/>
      <c r="AV71" s="386"/>
      <c r="AW71" s="386"/>
      <c r="AX71" s="386"/>
      <c r="AY71" s="386"/>
    </row>
    <row r="72" spans="3:51" ht="30" customHeight="1" thickBot="1" x14ac:dyDescent="0.25">
      <c r="C72" s="390" t="s">
        <v>327</v>
      </c>
      <c r="D72" s="374" t="s">
        <v>255</v>
      </c>
      <c r="E72" s="375" t="s">
        <v>230</v>
      </c>
      <c r="F72" s="375" t="s">
        <v>328</v>
      </c>
      <c r="G72" s="375">
        <v>11119468</v>
      </c>
      <c r="H72" s="375">
        <v>20</v>
      </c>
      <c r="I72" s="375">
        <v>1258</v>
      </c>
      <c r="J72" s="376">
        <v>42695</v>
      </c>
      <c r="K72" s="375">
        <v>20000</v>
      </c>
      <c r="L72" s="377"/>
      <c r="M72" s="377"/>
      <c r="N72" s="375">
        <v>0</v>
      </c>
      <c r="O72" s="392">
        <f t="shared" si="2"/>
        <v>20000</v>
      </c>
      <c r="P72" s="375">
        <v>30</v>
      </c>
      <c r="Q72" s="393">
        <f>(0.34848*((751.3+751.5)/2)-0.009024*((54.1+55.5)/2)*EXP(0.0612*((19.7+20.3)/2)))/(273.15+((19.7+20.3)/2))</f>
        <v>0.88748470987269767</v>
      </c>
      <c r="R72" s="375" t="s">
        <v>256</v>
      </c>
      <c r="S72" s="394" t="s">
        <v>323</v>
      </c>
      <c r="T72" s="319"/>
      <c r="U72" s="319"/>
      <c r="V72" s="319"/>
      <c r="W72" s="319"/>
      <c r="X72" s="319"/>
      <c r="Y72" s="319"/>
      <c r="Z72" s="386"/>
      <c r="AA72" s="386"/>
      <c r="AB72" s="386"/>
      <c r="AC72" s="386"/>
      <c r="AD72" s="386"/>
      <c r="AE72" s="386"/>
      <c r="AF72" s="386"/>
      <c r="AG72" s="386"/>
      <c r="AH72" s="386"/>
      <c r="AI72" s="386"/>
      <c r="AJ72" s="386"/>
      <c r="AK72" s="386"/>
      <c r="AL72" s="386"/>
      <c r="AR72" s="386"/>
      <c r="AS72" s="386"/>
      <c r="AT72" s="386"/>
      <c r="AU72" s="386"/>
      <c r="AV72" s="386"/>
      <c r="AW72" s="386"/>
      <c r="AX72" s="386"/>
      <c r="AY72" s="386"/>
    </row>
    <row r="73" spans="3:51" ht="30" customHeight="1" x14ac:dyDescent="0.2">
      <c r="C73" s="656" t="s">
        <v>326</v>
      </c>
      <c r="D73" s="344" t="s">
        <v>257</v>
      </c>
      <c r="E73" s="345" t="s">
        <v>230</v>
      </c>
      <c r="F73" s="345" t="s">
        <v>258</v>
      </c>
      <c r="G73" s="345" t="s">
        <v>329</v>
      </c>
      <c r="H73" s="345" t="s">
        <v>260</v>
      </c>
      <c r="I73" s="345" t="s">
        <v>261</v>
      </c>
      <c r="J73" s="346">
        <v>42683</v>
      </c>
      <c r="K73" s="345">
        <v>1</v>
      </c>
      <c r="L73" s="381"/>
      <c r="M73" s="381"/>
      <c r="N73" s="347">
        <v>0.04</v>
      </c>
      <c r="O73" s="382">
        <f t="shared" si="2"/>
        <v>1.00004</v>
      </c>
      <c r="P73" s="345">
        <v>3.3000000000000002E-2</v>
      </c>
      <c r="Q73" s="395">
        <v>0.88229999999999997</v>
      </c>
      <c r="R73" s="345" t="s">
        <v>262</v>
      </c>
      <c r="S73" s="349" t="s">
        <v>322</v>
      </c>
      <c r="T73" s="319"/>
      <c r="U73" s="319"/>
      <c r="V73" s="319"/>
      <c r="W73" s="319"/>
      <c r="X73" s="319"/>
      <c r="Y73" s="319"/>
      <c r="Z73" s="386"/>
      <c r="AA73" s="386"/>
      <c r="AB73" s="386"/>
      <c r="AC73" s="386"/>
      <c r="AD73" s="386"/>
      <c r="AE73" s="386"/>
      <c r="AF73" s="386"/>
      <c r="AG73" s="386"/>
      <c r="AH73" s="386"/>
      <c r="AI73" s="386"/>
      <c r="AJ73" s="386"/>
      <c r="AK73" s="386"/>
      <c r="AL73" s="386"/>
      <c r="AM73" s="386"/>
      <c r="AN73" s="386"/>
      <c r="AO73" s="386"/>
      <c r="AP73" s="386"/>
      <c r="AQ73" s="386"/>
      <c r="AR73" s="386"/>
      <c r="AS73" s="386"/>
      <c r="AT73" s="386"/>
      <c r="AU73" s="386"/>
      <c r="AV73" s="386"/>
      <c r="AW73" s="386"/>
      <c r="AX73" s="386"/>
      <c r="AY73" s="386"/>
    </row>
    <row r="74" spans="3:51" ht="30" customHeight="1" x14ac:dyDescent="0.2">
      <c r="C74" s="657"/>
      <c r="D74" s="350" t="s">
        <v>263</v>
      </c>
      <c r="E74" s="351" t="s">
        <v>230</v>
      </c>
      <c r="F74" s="351" t="s">
        <v>258</v>
      </c>
      <c r="G74" s="345" t="s">
        <v>329</v>
      </c>
      <c r="H74" s="351" t="s">
        <v>260</v>
      </c>
      <c r="I74" s="351" t="s">
        <v>261</v>
      </c>
      <c r="J74" s="346">
        <v>42683</v>
      </c>
      <c r="K74" s="351">
        <v>2</v>
      </c>
      <c r="L74" s="373"/>
      <c r="M74" s="373"/>
      <c r="N74" s="372">
        <v>0.04</v>
      </c>
      <c r="O74" s="353">
        <f t="shared" si="2"/>
        <v>2.0000399999999998</v>
      </c>
      <c r="P74" s="372">
        <v>0.04</v>
      </c>
      <c r="Q74" s="396">
        <v>0.88200000000000001</v>
      </c>
      <c r="R74" s="351" t="str">
        <f>R73</f>
        <v>M-016</v>
      </c>
      <c r="S74" s="349" t="s">
        <v>322</v>
      </c>
      <c r="T74" s="319"/>
      <c r="U74" s="319"/>
      <c r="V74" s="319"/>
      <c r="W74" s="319"/>
      <c r="X74" s="319"/>
      <c r="Y74" s="319"/>
      <c r="Z74" s="386"/>
      <c r="AA74" s="386"/>
      <c r="AB74" s="386"/>
      <c r="AC74" s="386"/>
      <c r="AD74" s="386"/>
      <c r="AE74" s="386"/>
      <c r="AF74" s="386"/>
      <c r="AG74" s="386"/>
      <c r="AH74" s="386"/>
      <c r="AI74" s="386"/>
      <c r="AJ74" s="386"/>
      <c r="AK74" s="386"/>
      <c r="AL74" s="386"/>
      <c r="AM74" s="386"/>
      <c r="AN74" s="386"/>
      <c r="AO74" s="386"/>
      <c r="AP74" s="386"/>
      <c r="AQ74" s="386"/>
      <c r="AR74" s="386"/>
      <c r="AS74" s="386"/>
      <c r="AT74" s="386"/>
      <c r="AU74" s="386"/>
      <c r="AV74" s="386"/>
      <c r="AW74" s="386"/>
      <c r="AX74" s="386"/>
      <c r="AY74" s="386"/>
    </row>
    <row r="75" spans="3:51" ht="30" customHeight="1" x14ac:dyDescent="0.2">
      <c r="C75" s="657"/>
      <c r="D75" s="350" t="s">
        <v>264</v>
      </c>
      <c r="E75" s="351" t="s">
        <v>230</v>
      </c>
      <c r="F75" s="351" t="s">
        <v>258</v>
      </c>
      <c r="G75" s="345" t="s">
        <v>329</v>
      </c>
      <c r="H75" s="351" t="s">
        <v>265</v>
      </c>
      <c r="I75" s="351" t="s">
        <v>261</v>
      </c>
      <c r="J75" s="346">
        <v>42683</v>
      </c>
      <c r="K75" s="351">
        <v>2</v>
      </c>
      <c r="L75" s="373"/>
      <c r="M75" s="373"/>
      <c r="N75" s="351">
        <v>5.3999999999999999E-2</v>
      </c>
      <c r="O75" s="370">
        <f t="shared" si="2"/>
        <v>2.000054</v>
      </c>
      <c r="P75" s="372">
        <v>0.04</v>
      </c>
      <c r="Q75" s="355">
        <v>0.88190000000000002</v>
      </c>
      <c r="R75" s="351" t="str">
        <f t="shared" ref="R75:R88" si="8">R74</f>
        <v>M-016</v>
      </c>
      <c r="S75" s="349" t="s">
        <v>322</v>
      </c>
      <c r="V75" s="319"/>
      <c r="W75" s="319"/>
      <c r="X75" s="319"/>
      <c r="Y75" s="319"/>
      <c r="Z75" s="386"/>
      <c r="AA75" s="386"/>
      <c r="AB75" s="386"/>
      <c r="AC75" s="386"/>
      <c r="AD75" s="386"/>
      <c r="AE75" s="386"/>
      <c r="AF75" s="386"/>
      <c r="AG75" s="386"/>
      <c r="AH75" s="386"/>
      <c r="AI75" s="386"/>
      <c r="AJ75" s="386"/>
      <c r="AK75" s="386"/>
      <c r="AL75" s="386"/>
      <c r="AM75" s="386"/>
      <c r="AN75" s="386"/>
      <c r="AO75" s="386"/>
      <c r="AP75" s="386"/>
      <c r="AQ75" s="386"/>
      <c r="AR75" s="386"/>
      <c r="AS75" s="386"/>
      <c r="AT75" s="386"/>
      <c r="AU75" s="386"/>
      <c r="AV75" s="386"/>
      <c r="AW75" s="386"/>
      <c r="AX75" s="386"/>
      <c r="AY75" s="386"/>
    </row>
    <row r="76" spans="3:51" ht="30" customHeight="1" x14ac:dyDescent="0.2">
      <c r="C76" s="657"/>
      <c r="D76" s="350" t="s">
        <v>266</v>
      </c>
      <c r="E76" s="351" t="s">
        <v>230</v>
      </c>
      <c r="F76" s="351" t="s">
        <v>258</v>
      </c>
      <c r="G76" s="345" t="s">
        <v>329</v>
      </c>
      <c r="H76" s="351" t="s">
        <v>260</v>
      </c>
      <c r="I76" s="351" t="s">
        <v>261</v>
      </c>
      <c r="J76" s="346">
        <v>42683</v>
      </c>
      <c r="K76" s="351">
        <v>5</v>
      </c>
      <c r="L76" s="373"/>
      <c r="M76" s="373"/>
      <c r="N76" s="351">
        <v>8.7999999999999995E-2</v>
      </c>
      <c r="O76" s="370">
        <f t="shared" si="2"/>
        <v>5.0000879999999999</v>
      </c>
      <c r="P76" s="351">
        <v>5.2999999999999999E-2</v>
      </c>
      <c r="Q76" s="396">
        <v>0.88200000000000001</v>
      </c>
      <c r="R76" s="351" t="str">
        <f t="shared" si="8"/>
        <v>M-016</v>
      </c>
      <c r="S76" s="349" t="s">
        <v>322</v>
      </c>
      <c r="V76" s="319"/>
      <c r="W76" s="319"/>
      <c r="X76" s="319"/>
      <c r="Y76" s="319"/>
      <c r="Z76" s="386"/>
      <c r="AA76" s="386"/>
      <c r="AB76" s="386"/>
      <c r="AC76" s="386"/>
      <c r="AD76" s="386"/>
      <c r="AE76" s="386"/>
      <c r="AF76" s="386"/>
      <c r="AG76" s="386"/>
      <c r="AH76" s="386"/>
      <c r="AI76" s="386"/>
      <c r="AJ76" s="386"/>
      <c r="AK76" s="386"/>
      <c r="AL76" s="386"/>
      <c r="AM76" s="386"/>
      <c r="AN76" s="386"/>
      <c r="AO76" s="386"/>
      <c r="AP76" s="386"/>
      <c r="AQ76" s="386"/>
      <c r="AR76" s="386"/>
      <c r="AS76" s="386"/>
      <c r="AT76" s="386"/>
      <c r="AU76" s="386"/>
      <c r="AV76" s="386"/>
      <c r="AW76" s="386"/>
      <c r="AX76" s="386"/>
      <c r="AY76" s="386"/>
    </row>
    <row r="77" spans="3:51" ht="30" customHeight="1" x14ac:dyDescent="0.2">
      <c r="C77" s="657"/>
      <c r="D77" s="350" t="s">
        <v>267</v>
      </c>
      <c r="E77" s="351" t="s">
        <v>230</v>
      </c>
      <c r="F77" s="351" t="s">
        <v>258</v>
      </c>
      <c r="G77" s="345" t="s">
        <v>329</v>
      </c>
      <c r="H77" s="351" t="s">
        <v>260</v>
      </c>
      <c r="I77" s="351" t="s">
        <v>261</v>
      </c>
      <c r="J77" s="346">
        <v>42683</v>
      </c>
      <c r="K77" s="351">
        <v>10</v>
      </c>
      <c r="L77" s="373"/>
      <c r="M77" s="373"/>
      <c r="N77" s="351">
        <v>8.7999999999999995E-2</v>
      </c>
      <c r="O77" s="370">
        <f t="shared" si="2"/>
        <v>10.000088</v>
      </c>
      <c r="P77" s="351">
        <v>6.7000000000000004E-2</v>
      </c>
      <c r="Q77" s="355">
        <v>0.8821</v>
      </c>
      <c r="R77" s="351" t="str">
        <f t="shared" si="8"/>
        <v>M-016</v>
      </c>
      <c r="S77" s="349" t="s">
        <v>322</v>
      </c>
      <c r="V77" s="319"/>
      <c r="W77" s="319"/>
      <c r="X77" s="319"/>
      <c r="Y77" s="319"/>
      <c r="Z77" s="319"/>
      <c r="AA77" s="319"/>
      <c r="AB77" s="386"/>
      <c r="AC77" s="386"/>
      <c r="AD77" s="386"/>
      <c r="AE77" s="386"/>
      <c r="AF77" s="386"/>
      <c r="AG77" s="386"/>
      <c r="AH77" s="386"/>
      <c r="AI77" s="386"/>
      <c r="AJ77" s="386"/>
      <c r="AK77" s="386"/>
      <c r="AL77" s="386"/>
      <c r="AM77" s="386"/>
      <c r="AN77" s="386"/>
      <c r="AO77" s="386"/>
      <c r="AP77" s="386"/>
      <c r="AQ77" s="386"/>
      <c r="AR77" s="386"/>
      <c r="AS77" s="386"/>
      <c r="AT77" s="386"/>
      <c r="AU77" s="386"/>
      <c r="AV77" s="386"/>
      <c r="AW77" s="386"/>
      <c r="AX77" s="386"/>
      <c r="AY77" s="386"/>
    </row>
    <row r="78" spans="3:51" ht="30" customHeight="1" x14ac:dyDescent="0.2">
      <c r="C78" s="657"/>
      <c r="D78" s="350" t="s">
        <v>268</v>
      </c>
      <c r="E78" s="351" t="s">
        <v>230</v>
      </c>
      <c r="F78" s="351" t="s">
        <v>258</v>
      </c>
      <c r="G78" s="345" t="s">
        <v>329</v>
      </c>
      <c r="H78" s="351" t="s">
        <v>260</v>
      </c>
      <c r="I78" s="351" t="s">
        <v>261</v>
      </c>
      <c r="J78" s="346">
        <v>42683</v>
      </c>
      <c r="K78" s="351">
        <v>20</v>
      </c>
      <c r="L78" s="373"/>
      <c r="M78" s="373"/>
      <c r="N78" s="351">
        <v>9.2999999999999999E-2</v>
      </c>
      <c r="O78" s="370">
        <f t="shared" si="2"/>
        <v>20.000093</v>
      </c>
      <c r="P78" s="351">
        <v>8.3000000000000004E-2</v>
      </c>
      <c r="Q78" s="355">
        <v>0.88229999999999997</v>
      </c>
      <c r="R78" s="351" t="str">
        <f t="shared" si="8"/>
        <v>M-016</v>
      </c>
      <c r="S78" s="349" t="s">
        <v>322</v>
      </c>
      <c r="V78" s="319"/>
      <c r="W78" s="319"/>
      <c r="X78" s="319"/>
      <c r="Y78" s="319"/>
      <c r="Z78" s="319"/>
      <c r="AA78" s="319"/>
      <c r="AB78" s="386"/>
      <c r="AC78" s="386"/>
      <c r="AD78" s="386"/>
      <c r="AE78" s="386"/>
      <c r="AF78" s="386"/>
      <c r="AG78" s="386"/>
      <c r="AH78" s="386"/>
      <c r="AI78" s="386"/>
      <c r="AJ78" s="386"/>
      <c r="AK78" s="386"/>
      <c r="AL78" s="386"/>
      <c r="AM78" s="386"/>
      <c r="AN78" s="386"/>
      <c r="AO78" s="386"/>
      <c r="AP78" s="386"/>
      <c r="AQ78" s="386"/>
      <c r="AR78" s="386"/>
      <c r="AS78" s="386"/>
      <c r="AT78" s="386"/>
      <c r="AU78" s="386"/>
      <c r="AV78" s="386"/>
      <c r="AW78" s="386"/>
      <c r="AX78" s="386"/>
      <c r="AY78" s="386"/>
    </row>
    <row r="79" spans="3:51" ht="30" customHeight="1" x14ac:dyDescent="0.2">
      <c r="C79" s="657"/>
      <c r="D79" s="350" t="s">
        <v>269</v>
      </c>
      <c r="E79" s="351" t="s">
        <v>230</v>
      </c>
      <c r="F79" s="351" t="s">
        <v>258</v>
      </c>
      <c r="G79" s="345" t="s">
        <v>329</v>
      </c>
      <c r="H79" s="351" t="s">
        <v>265</v>
      </c>
      <c r="I79" s="351" t="s">
        <v>261</v>
      </c>
      <c r="J79" s="346">
        <v>42683</v>
      </c>
      <c r="K79" s="351">
        <v>20</v>
      </c>
      <c r="L79" s="373"/>
      <c r="M79" s="373"/>
      <c r="N79" s="351">
        <v>9.0999999999999998E-2</v>
      </c>
      <c r="O79" s="370">
        <f t="shared" si="2"/>
        <v>20.000091000000001</v>
      </c>
      <c r="P79" s="351">
        <v>8.3000000000000004E-2</v>
      </c>
      <c r="Q79" s="355">
        <v>0.88239999999999996</v>
      </c>
      <c r="R79" s="351" t="str">
        <f t="shared" si="8"/>
        <v>M-016</v>
      </c>
      <c r="S79" s="349" t="s">
        <v>322</v>
      </c>
      <c r="V79" s="386"/>
      <c r="W79" s="386"/>
      <c r="X79" s="386"/>
      <c r="Y79" s="386"/>
      <c r="Z79" s="386"/>
      <c r="AA79" s="386"/>
      <c r="AB79" s="386"/>
      <c r="AC79" s="386"/>
      <c r="AD79" s="386"/>
      <c r="AE79" s="386"/>
      <c r="AF79" s="386"/>
      <c r="AG79" s="386"/>
      <c r="AH79" s="386"/>
      <c r="AI79" s="386"/>
      <c r="AJ79" s="386"/>
      <c r="AK79" s="386"/>
      <c r="AL79" s="386"/>
      <c r="AM79" s="386"/>
      <c r="AN79" s="386"/>
      <c r="AO79" s="386"/>
      <c r="AP79" s="386"/>
      <c r="AQ79" s="386"/>
      <c r="AR79" s="386"/>
      <c r="AS79" s="386"/>
      <c r="AT79" s="386"/>
      <c r="AU79" s="386"/>
      <c r="AV79" s="386"/>
      <c r="AW79" s="386"/>
      <c r="AX79" s="386"/>
      <c r="AY79" s="386"/>
    </row>
    <row r="80" spans="3:51" ht="30" customHeight="1" x14ac:dyDescent="0.2">
      <c r="C80" s="657"/>
      <c r="D80" s="350" t="s">
        <v>270</v>
      </c>
      <c r="E80" s="351" t="s">
        <v>230</v>
      </c>
      <c r="F80" s="351" t="s">
        <v>258</v>
      </c>
      <c r="G80" s="345" t="s">
        <v>329</v>
      </c>
      <c r="H80" s="351" t="s">
        <v>260</v>
      </c>
      <c r="I80" s="351" t="s">
        <v>261</v>
      </c>
      <c r="J80" s="346">
        <v>42683</v>
      </c>
      <c r="K80" s="351">
        <v>50</v>
      </c>
      <c r="L80" s="373"/>
      <c r="M80" s="373"/>
      <c r="N80" s="351">
        <v>0.08</v>
      </c>
      <c r="O80" s="353">
        <f t="shared" si="2"/>
        <v>50.000079999999997</v>
      </c>
      <c r="P80" s="354">
        <v>0.1</v>
      </c>
      <c r="Q80" s="355">
        <v>0.88239999999999996</v>
      </c>
      <c r="R80" s="351" t="str">
        <f t="shared" si="8"/>
        <v>M-016</v>
      </c>
      <c r="S80" s="349" t="s">
        <v>322</v>
      </c>
      <c r="V80" s="386"/>
      <c r="W80" s="386"/>
      <c r="X80" s="386"/>
      <c r="Y80" s="386"/>
      <c r="Z80" s="386"/>
      <c r="AA80" s="386"/>
      <c r="AB80" s="386"/>
      <c r="AC80" s="386"/>
      <c r="AD80" s="386"/>
      <c r="AE80" s="386"/>
      <c r="AF80" s="386"/>
      <c r="AG80" s="386"/>
      <c r="AH80" s="386"/>
      <c r="AI80" s="386"/>
      <c r="AJ80" s="386"/>
      <c r="AK80" s="386"/>
      <c r="AL80" s="386"/>
      <c r="AM80" s="386"/>
      <c r="AN80" s="386"/>
      <c r="AO80" s="386"/>
      <c r="AP80" s="386"/>
      <c r="AQ80" s="386"/>
      <c r="AR80" s="386"/>
      <c r="AS80" s="386"/>
      <c r="AT80" s="386"/>
      <c r="AU80" s="386"/>
      <c r="AV80" s="386"/>
      <c r="AW80" s="386"/>
      <c r="AX80" s="386"/>
      <c r="AY80" s="386"/>
    </row>
    <row r="81" spans="3:51" ht="30" customHeight="1" x14ac:dyDescent="0.2">
      <c r="C81" s="657"/>
      <c r="D81" s="350" t="s">
        <v>271</v>
      </c>
      <c r="E81" s="351" t="s">
        <v>230</v>
      </c>
      <c r="F81" s="351" t="s">
        <v>258</v>
      </c>
      <c r="G81" s="345" t="s">
        <v>329</v>
      </c>
      <c r="H81" s="351" t="s">
        <v>260</v>
      </c>
      <c r="I81" s="351" t="s">
        <v>261</v>
      </c>
      <c r="J81" s="346">
        <v>42683</v>
      </c>
      <c r="K81" s="351">
        <v>100</v>
      </c>
      <c r="L81" s="373"/>
      <c r="M81" s="373"/>
      <c r="N81" s="351">
        <v>0.08</v>
      </c>
      <c r="O81" s="353">
        <f t="shared" si="2"/>
        <v>100.00008</v>
      </c>
      <c r="P81" s="351">
        <v>0.17</v>
      </c>
      <c r="Q81" s="355">
        <v>0.88539999999999996</v>
      </c>
      <c r="R81" s="351" t="str">
        <f t="shared" si="8"/>
        <v>M-016</v>
      </c>
      <c r="S81" s="349" t="s">
        <v>322</v>
      </c>
      <c r="V81" s="319"/>
      <c r="W81" s="319"/>
      <c r="X81" s="319"/>
      <c r="Y81" s="319"/>
      <c r="Z81" s="319"/>
      <c r="AA81" s="319"/>
      <c r="AB81" s="386"/>
      <c r="AC81" s="386"/>
      <c r="AD81" s="386"/>
      <c r="AE81" s="386"/>
      <c r="AF81" s="386"/>
      <c r="AG81" s="386"/>
      <c r="AH81" s="386"/>
      <c r="AI81" s="386"/>
      <c r="AJ81" s="386"/>
      <c r="AK81" s="386"/>
      <c r="AL81" s="386"/>
      <c r="AW81" s="386"/>
      <c r="AX81" s="386"/>
      <c r="AY81" s="386"/>
    </row>
    <row r="82" spans="3:51" ht="30" customHeight="1" x14ac:dyDescent="0.2">
      <c r="C82" s="657"/>
      <c r="D82" s="350" t="s">
        <v>272</v>
      </c>
      <c r="E82" s="351" t="s">
        <v>230</v>
      </c>
      <c r="F82" s="351" t="s">
        <v>258</v>
      </c>
      <c r="G82" s="345" t="s">
        <v>329</v>
      </c>
      <c r="H82" s="351" t="s">
        <v>260</v>
      </c>
      <c r="I82" s="351" t="s">
        <v>261</v>
      </c>
      <c r="J82" s="346">
        <v>42683</v>
      </c>
      <c r="K82" s="351">
        <v>200</v>
      </c>
      <c r="L82" s="373"/>
      <c r="M82" s="373"/>
      <c r="N82" s="351">
        <v>0.28999999999999998</v>
      </c>
      <c r="O82" s="353">
        <f t="shared" si="2"/>
        <v>200.00029000000001</v>
      </c>
      <c r="P82" s="351">
        <v>0.33</v>
      </c>
      <c r="Q82" s="355">
        <v>0.88519999999999999</v>
      </c>
      <c r="R82" s="351" t="str">
        <f t="shared" si="8"/>
        <v>M-016</v>
      </c>
      <c r="S82" s="349" t="s">
        <v>322</v>
      </c>
      <c r="V82" s="319"/>
      <c r="W82" s="319"/>
      <c r="X82" s="319"/>
      <c r="Y82" s="319"/>
      <c r="Z82" s="319"/>
      <c r="AA82" s="319"/>
      <c r="AB82" s="386"/>
      <c r="AC82" s="386"/>
      <c r="AD82" s="386"/>
      <c r="AE82" s="386"/>
      <c r="AF82" s="386"/>
      <c r="AG82" s="386"/>
      <c r="AH82" s="386"/>
      <c r="AI82" s="386"/>
      <c r="AJ82" s="386"/>
      <c r="AK82" s="386"/>
      <c r="AL82" s="386"/>
      <c r="AW82" s="386"/>
      <c r="AX82" s="386"/>
      <c r="AY82" s="386"/>
    </row>
    <row r="83" spans="3:51" ht="30" customHeight="1" x14ac:dyDescent="0.2">
      <c r="C83" s="657"/>
      <c r="D83" s="350" t="s">
        <v>273</v>
      </c>
      <c r="E83" s="351" t="s">
        <v>230</v>
      </c>
      <c r="F83" s="351" t="s">
        <v>258</v>
      </c>
      <c r="G83" s="345" t="s">
        <v>329</v>
      </c>
      <c r="H83" s="351" t="s">
        <v>265</v>
      </c>
      <c r="I83" s="351" t="s">
        <v>261</v>
      </c>
      <c r="J83" s="346">
        <v>42683</v>
      </c>
      <c r="K83" s="351">
        <v>200</v>
      </c>
      <c r="L83" s="373"/>
      <c r="M83" s="373"/>
      <c r="N83" s="351">
        <v>0.33</v>
      </c>
      <c r="O83" s="353">
        <f t="shared" si="2"/>
        <v>200.00032999999999</v>
      </c>
      <c r="P83" s="351">
        <v>0.33</v>
      </c>
      <c r="Q83" s="396">
        <v>0.88500000000000001</v>
      </c>
      <c r="R83" s="351" t="str">
        <f t="shared" si="8"/>
        <v>M-016</v>
      </c>
      <c r="S83" s="349" t="s">
        <v>322</v>
      </c>
      <c r="V83" s="319"/>
      <c r="W83" s="319"/>
      <c r="X83" s="319"/>
      <c r="Y83" s="319"/>
      <c r="Z83" s="319"/>
      <c r="AA83" s="319"/>
      <c r="AB83" s="386"/>
      <c r="AC83" s="386"/>
      <c r="AD83" s="386"/>
      <c r="AE83" s="386"/>
      <c r="AF83" s="386"/>
      <c r="AG83" s="386"/>
      <c r="AH83" s="386"/>
      <c r="AI83" s="386"/>
      <c r="AJ83" s="386"/>
      <c r="AK83" s="386"/>
      <c r="AL83" s="386"/>
      <c r="AW83" s="386"/>
      <c r="AX83" s="386"/>
      <c r="AY83" s="386"/>
    </row>
    <row r="84" spans="3:51" ht="30" customHeight="1" x14ac:dyDescent="0.2">
      <c r="C84" s="657"/>
      <c r="D84" s="350" t="s">
        <v>274</v>
      </c>
      <c r="E84" s="351" t="s">
        <v>230</v>
      </c>
      <c r="F84" s="351" t="s">
        <v>258</v>
      </c>
      <c r="G84" s="345" t="s">
        <v>329</v>
      </c>
      <c r="H84" s="351" t="s">
        <v>260</v>
      </c>
      <c r="I84" s="351" t="s">
        <v>261</v>
      </c>
      <c r="J84" s="346">
        <v>42683</v>
      </c>
      <c r="K84" s="351">
        <v>500</v>
      </c>
      <c r="L84" s="373"/>
      <c r="M84" s="373"/>
      <c r="N84" s="351">
        <v>0.94</v>
      </c>
      <c r="O84" s="353">
        <f t="shared" si="2"/>
        <v>500.00094000000001</v>
      </c>
      <c r="P84" s="351">
        <v>0.83</v>
      </c>
      <c r="Q84" s="355">
        <v>0.88539999999999996</v>
      </c>
      <c r="R84" s="351" t="str">
        <f t="shared" si="8"/>
        <v>M-016</v>
      </c>
      <c r="S84" s="349" t="s">
        <v>322</v>
      </c>
      <c r="T84" s="319"/>
      <c r="U84" s="319"/>
      <c r="V84" s="319"/>
      <c r="W84" s="319"/>
      <c r="X84" s="319"/>
      <c r="Y84" s="319"/>
      <c r="Z84" s="319"/>
      <c r="AA84" s="319"/>
      <c r="AB84" s="386"/>
      <c r="AC84" s="386"/>
      <c r="AD84" s="386"/>
      <c r="AE84" s="386"/>
      <c r="AF84" s="386"/>
      <c r="AG84" s="386"/>
      <c r="AH84" s="386"/>
      <c r="AI84" s="386"/>
      <c r="AJ84" s="386"/>
      <c r="AK84" s="386"/>
      <c r="AL84" s="386"/>
      <c r="AW84" s="386"/>
      <c r="AX84" s="386"/>
      <c r="AY84" s="386"/>
    </row>
    <row r="85" spans="3:51" ht="30" customHeight="1" x14ac:dyDescent="0.2">
      <c r="C85" s="657"/>
      <c r="D85" s="350" t="s">
        <v>275</v>
      </c>
      <c r="E85" s="351" t="s">
        <v>230</v>
      </c>
      <c r="F85" s="351" t="s">
        <v>258</v>
      </c>
      <c r="G85" s="345" t="s">
        <v>329</v>
      </c>
      <c r="H85" s="351" t="s">
        <v>260</v>
      </c>
      <c r="I85" s="351" t="s">
        <v>261</v>
      </c>
      <c r="J85" s="346">
        <v>42683</v>
      </c>
      <c r="K85" s="351">
        <v>1000</v>
      </c>
      <c r="L85" s="373"/>
      <c r="M85" s="373"/>
      <c r="N85" s="357">
        <v>0</v>
      </c>
      <c r="O85" s="356">
        <f t="shared" si="2"/>
        <v>1000</v>
      </c>
      <c r="P85" s="351">
        <v>1.7</v>
      </c>
      <c r="Q85" s="355">
        <v>0.88449999999999995</v>
      </c>
      <c r="R85" s="351" t="str">
        <f t="shared" si="8"/>
        <v>M-016</v>
      </c>
      <c r="S85" s="349" t="s">
        <v>322</v>
      </c>
      <c r="T85" s="319"/>
      <c r="U85" s="319"/>
      <c r="V85" s="319"/>
      <c r="W85" s="319"/>
      <c r="X85" s="319"/>
      <c r="Y85" s="319"/>
      <c r="Z85" s="319"/>
      <c r="AA85" s="319"/>
      <c r="AB85" s="386"/>
      <c r="AC85" s="386"/>
      <c r="AD85" s="386"/>
      <c r="AE85" s="386"/>
      <c r="AF85" s="386"/>
      <c r="AG85" s="386"/>
      <c r="AH85" s="386"/>
      <c r="AI85" s="386"/>
      <c r="AJ85" s="386"/>
      <c r="AK85" s="386"/>
      <c r="AL85" s="386"/>
      <c r="AW85" s="386"/>
      <c r="AX85" s="386"/>
      <c r="AY85" s="386"/>
    </row>
    <row r="86" spans="3:51" ht="30" customHeight="1" x14ac:dyDescent="0.2">
      <c r="C86" s="657"/>
      <c r="D86" s="350" t="s">
        <v>276</v>
      </c>
      <c r="E86" s="351" t="s">
        <v>230</v>
      </c>
      <c r="F86" s="351" t="s">
        <v>258</v>
      </c>
      <c r="G86" s="345" t="s">
        <v>329</v>
      </c>
      <c r="H86" s="351" t="s">
        <v>260</v>
      </c>
      <c r="I86" s="351" t="s">
        <v>261</v>
      </c>
      <c r="J86" s="346">
        <v>42683</v>
      </c>
      <c r="K86" s="351">
        <v>2000</v>
      </c>
      <c r="L86" s="373"/>
      <c r="M86" s="373"/>
      <c r="N86" s="357">
        <v>3</v>
      </c>
      <c r="O86" s="356">
        <f t="shared" si="2"/>
        <v>2000.0029999999999</v>
      </c>
      <c r="P86" s="351">
        <v>3.3</v>
      </c>
      <c r="Q86" s="355">
        <v>0.88429999999999997</v>
      </c>
      <c r="R86" s="351" t="str">
        <f t="shared" si="8"/>
        <v>M-016</v>
      </c>
      <c r="S86" s="349" t="s">
        <v>322</v>
      </c>
      <c r="T86" s="319"/>
      <c r="U86" s="319"/>
      <c r="V86" s="319"/>
      <c r="W86" s="319"/>
      <c r="X86" s="319"/>
      <c r="Y86" s="319"/>
      <c r="Z86" s="319"/>
      <c r="AA86" s="319"/>
      <c r="AB86" s="386"/>
      <c r="AC86" s="386"/>
      <c r="AD86" s="386"/>
      <c r="AE86" s="386"/>
      <c r="AF86" s="386"/>
      <c r="AG86" s="386"/>
      <c r="AH86" s="386"/>
      <c r="AI86" s="386"/>
      <c r="AJ86" s="386"/>
      <c r="AK86" s="386"/>
      <c r="AL86" s="386"/>
      <c r="AW86" s="386"/>
      <c r="AX86" s="386"/>
      <c r="AY86" s="386"/>
    </row>
    <row r="87" spans="3:51" ht="30" customHeight="1" x14ac:dyDescent="0.2">
      <c r="C87" s="657"/>
      <c r="D87" s="350" t="s">
        <v>277</v>
      </c>
      <c r="E87" s="351" t="s">
        <v>230</v>
      </c>
      <c r="F87" s="351" t="s">
        <v>258</v>
      </c>
      <c r="G87" s="345" t="s">
        <v>329</v>
      </c>
      <c r="H87" s="351" t="s">
        <v>265</v>
      </c>
      <c r="I87" s="351" t="s">
        <v>261</v>
      </c>
      <c r="J87" s="346">
        <v>42683</v>
      </c>
      <c r="K87" s="351">
        <v>2000</v>
      </c>
      <c r="L87" s="373"/>
      <c r="M87" s="373"/>
      <c r="N87" s="351">
        <v>3.9</v>
      </c>
      <c r="O87" s="356">
        <f t="shared" si="2"/>
        <v>2000.0038999999999</v>
      </c>
      <c r="P87" s="351">
        <v>3.3</v>
      </c>
      <c r="Q87" s="355">
        <v>0.8841</v>
      </c>
      <c r="R87" s="351" t="str">
        <f>R86</f>
        <v>M-016</v>
      </c>
      <c r="S87" s="349" t="s">
        <v>322</v>
      </c>
      <c r="T87" s="319"/>
      <c r="U87" s="319"/>
      <c r="V87" s="319"/>
      <c r="W87" s="386"/>
      <c r="X87" s="386"/>
      <c r="Y87" s="386"/>
      <c r="Z87" s="386"/>
      <c r="AA87" s="386"/>
      <c r="AB87" s="386"/>
      <c r="AC87" s="386"/>
      <c r="AD87" s="386"/>
      <c r="AE87" s="386"/>
      <c r="AF87" s="386"/>
      <c r="AG87" s="386"/>
      <c r="AH87" s="386"/>
      <c r="AI87" s="386"/>
      <c r="AJ87" s="386"/>
      <c r="AK87" s="386"/>
      <c r="AL87" s="386"/>
      <c r="AW87" s="386"/>
      <c r="AX87" s="386"/>
      <c r="AY87" s="386"/>
    </row>
    <row r="88" spans="3:51" ht="30" customHeight="1" thickBot="1" x14ac:dyDescent="0.25">
      <c r="C88" s="658"/>
      <c r="D88" s="374" t="s">
        <v>278</v>
      </c>
      <c r="E88" s="375" t="s">
        <v>230</v>
      </c>
      <c r="F88" s="375" t="s">
        <v>258</v>
      </c>
      <c r="G88" s="345" t="s">
        <v>329</v>
      </c>
      <c r="H88" s="375" t="s">
        <v>260</v>
      </c>
      <c r="I88" s="375" t="s">
        <v>261</v>
      </c>
      <c r="J88" s="346">
        <v>42683</v>
      </c>
      <c r="K88" s="375">
        <v>5000</v>
      </c>
      <c r="L88" s="377"/>
      <c r="M88" s="377"/>
      <c r="N88" s="375">
        <v>7.7</v>
      </c>
      <c r="O88" s="378">
        <f t="shared" si="2"/>
        <v>5000.0077000000001</v>
      </c>
      <c r="P88" s="375">
        <v>8.3000000000000007</v>
      </c>
      <c r="Q88" s="397">
        <v>0.88370000000000004</v>
      </c>
      <c r="R88" s="375" t="str">
        <f t="shared" si="8"/>
        <v>M-016</v>
      </c>
      <c r="S88" s="349" t="s">
        <v>322</v>
      </c>
      <c r="V88" s="319"/>
      <c r="W88" s="386"/>
      <c r="X88" s="386"/>
      <c r="Y88" s="386"/>
      <c r="Z88" s="386"/>
      <c r="AA88" s="386"/>
      <c r="AB88" s="386"/>
      <c r="AC88" s="386"/>
      <c r="AD88" s="386"/>
      <c r="AE88" s="386"/>
      <c r="AF88" s="386"/>
      <c r="AG88" s="386"/>
      <c r="AH88" s="386"/>
      <c r="AI88" s="386"/>
      <c r="AJ88" s="386"/>
      <c r="AK88" s="386"/>
      <c r="AL88" s="386"/>
      <c r="AW88" s="386"/>
      <c r="AX88" s="386"/>
      <c r="AY88" s="386"/>
    </row>
    <row r="89" spans="3:51" ht="30" customHeight="1" x14ac:dyDescent="0.2">
      <c r="C89" s="398"/>
      <c r="V89" s="319"/>
      <c r="W89" s="386"/>
      <c r="X89" s="386"/>
      <c r="Y89" s="386"/>
      <c r="Z89" s="386"/>
      <c r="AA89" s="386"/>
      <c r="AB89" s="386"/>
      <c r="AC89" s="386"/>
      <c r="AD89" s="386"/>
      <c r="AE89" s="386"/>
      <c r="AF89" s="386"/>
      <c r="AG89" s="386"/>
      <c r="AH89" s="386"/>
      <c r="AI89" s="386"/>
      <c r="AJ89" s="386"/>
      <c r="AK89" s="386"/>
      <c r="AL89" s="386"/>
      <c r="AW89" s="386"/>
      <c r="AX89" s="386"/>
      <c r="AY89" s="386"/>
    </row>
    <row r="90" spans="3:51" ht="30" customHeight="1" x14ac:dyDescent="0.2">
      <c r="C90" s="398"/>
      <c r="V90" s="319"/>
      <c r="W90" s="386"/>
      <c r="X90" s="386"/>
      <c r="Y90" s="386"/>
      <c r="Z90" s="386"/>
      <c r="AA90" s="386"/>
      <c r="AB90" s="386"/>
      <c r="AC90" s="386"/>
      <c r="AD90" s="386"/>
      <c r="AE90" s="386"/>
      <c r="AF90" s="386"/>
      <c r="AG90" s="386"/>
      <c r="AH90" s="386"/>
      <c r="AI90" s="386"/>
      <c r="AJ90" s="386"/>
      <c r="AK90" s="386"/>
      <c r="AL90" s="386"/>
      <c r="AW90" s="386"/>
      <c r="AX90" s="386"/>
      <c r="AY90" s="386"/>
    </row>
    <row r="91" spans="3:51" ht="30" customHeight="1" thickBot="1" x14ac:dyDescent="0.25">
      <c r="C91" s="398"/>
      <c r="P91" s="319"/>
      <c r="Q91" s="319"/>
      <c r="R91" s="319"/>
      <c r="S91" s="319"/>
      <c r="T91" s="319"/>
      <c r="V91" s="319"/>
      <c r="AA91" s="386"/>
      <c r="AB91" s="386"/>
      <c r="AC91" s="386"/>
      <c r="AD91" s="386"/>
      <c r="AE91" s="386"/>
      <c r="AF91" s="386"/>
      <c r="AG91" s="386"/>
      <c r="AH91" s="386"/>
      <c r="AI91" s="386"/>
      <c r="AJ91" s="386"/>
      <c r="AK91" s="386"/>
      <c r="AL91" s="386"/>
      <c r="AW91" s="386"/>
      <c r="AX91" s="386"/>
      <c r="AY91" s="386"/>
    </row>
    <row r="92" spans="3:51" ht="30" customHeight="1" x14ac:dyDescent="0.2">
      <c r="C92" s="398"/>
      <c r="D92" s="705" t="s">
        <v>293</v>
      </c>
      <c r="E92" s="706"/>
      <c r="F92" s="706"/>
      <c r="G92" s="706"/>
      <c r="H92" s="706"/>
      <c r="I92" s="706"/>
      <c r="J92" s="706"/>
      <c r="K92" s="706"/>
      <c r="L92" s="706"/>
      <c r="M92" s="706"/>
      <c r="N92" s="706"/>
      <c r="O92" s="706"/>
      <c r="P92" s="706"/>
      <c r="Q92" s="706"/>
      <c r="R92" s="706"/>
      <c r="S92" s="706"/>
      <c r="T92" s="706"/>
      <c r="U92" s="707"/>
      <c r="V92" s="319"/>
      <c r="AA92" s="386"/>
      <c r="AB92" s="386"/>
      <c r="AC92" s="386"/>
      <c r="AD92" s="386"/>
      <c r="AE92" s="386"/>
      <c r="AF92" s="386"/>
      <c r="AG92" s="386"/>
      <c r="AH92" s="386"/>
      <c r="AI92" s="386"/>
      <c r="AJ92" s="386"/>
      <c r="AK92" s="386"/>
      <c r="AL92" s="386"/>
      <c r="AW92" s="386"/>
      <c r="AX92" s="386"/>
      <c r="AY92" s="386"/>
    </row>
    <row r="93" spans="3:51" ht="30" customHeight="1" thickBot="1" x14ac:dyDescent="0.25">
      <c r="C93" s="398"/>
      <c r="D93" s="708"/>
      <c r="E93" s="709"/>
      <c r="F93" s="709"/>
      <c r="G93" s="709"/>
      <c r="H93" s="709"/>
      <c r="I93" s="709"/>
      <c r="J93" s="709"/>
      <c r="K93" s="709"/>
      <c r="L93" s="709"/>
      <c r="M93" s="709"/>
      <c r="N93" s="709"/>
      <c r="O93" s="709"/>
      <c r="P93" s="709"/>
      <c r="Q93" s="709"/>
      <c r="R93" s="709"/>
      <c r="S93" s="709"/>
      <c r="T93" s="709"/>
      <c r="U93" s="710"/>
      <c r="V93" s="319"/>
      <c r="AA93" s="386"/>
      <c r="AB93" s="386"/>
      <c r="AC93" s="386"/>
      <c r="AD93" s="386"/>
      <c r="AE93" s="386"/>
      <c r="AF93" s="386"/>
      <c r="AG93" s="386"/>
      <c r="AH93" s="386"/>
      <c r="AI93" s="386"/>
      <c r="AJ93" s="386"/>
      <c r="AK93" s="386"/>
      <c r="AL93" s="386"/>
      <c r="AW93" s="386"/>
      <c r="AX93" s="386"/>
      <c r="AY93" s="386"/>
    </row>
    <row r="94" spans="3:51" ht="30" customHeight="1" thickBot="1" x14ac:dyDescent="0.25">
      <c r="C94" s="398"/>
      <c r="D94" s="711" t="s">
        <v>383</v>
      </c>
      <c r="E94" s="712"/>
      <c r="F94" s="712"/>
      <c r="G94" s="712"/>
      <c r="H94" s="712"/>
      <c r="I94" s="712"/>
      <c r="J94" s="712"/>
      <c r="K94" s="712"/>
      <c r="L94" s="712"/>
      <c r="M94" s="712"/>
      <c r="N94" s="712"/>
      <c r="O94" s="712"/>
      <c r="P94" s="712"/>
      <c r="Q94" s="712"/>
      <c r="R94" s="712"/>
      <c r="S94" s="712"/>
      <c r="T94" s="712"/>
      <c r="U94" s="713"/>
      <c r="V94" s="319"/>
      <c r="AA94" s="386"/>
      <c r="AB94" s="386"/>
      <c r="AC94" s="386"/>
      <c r="AD94" s="386"/>
      <c r="AE94" s="386"/>
      <c r="AF94" s="386"/>
      <c r="AG94" s="386"/>
      <c r="AH94" s="386"/>
      <c r="AI94" s="386"/>
      <c r="AJ94" s="386"/>
      <c r="AK94" s="386"/>
      <c r="AL94" s="386"/>
      <c r="AW94" s="386"/>
      <c r="AX94" s="386"/>
      <c r="AY94" s="386"/>
    </row>
    <row r="95" spans="3:51" ht="30" customHeight="1" x14ac:dyDescent="0.2">
      <c r="C95" s="398"/>
      <c r="D95" s="386"/>
      <c r="E95" s="721" t="s">
        <v>3</v>
      </c>
      <c r="F95" s="723" t="s">
        <v>294</v>
      </c>
      <c r="G95" s="723" t="s">
        <v>295</v>
      </c>
      <c r="H95" s="723" t="s">
        <v>296</v>
      </c>
      <c r="I95" s="723" t="s">
        <v>297</v>
      </c>
      <c r="J95" s="723" t="s">
        <v>298</v>
      </c>
      <c r="K95" s="723" t="s">
        <v>299</v>
      </c>
      <c r="L95" s="723" t="s">
        <v>300</v>
      </c>
      <c r="M95" s="599" t="s">
        <v>301</v>
      </c>
      <c r="P95" s="607" t="s">
        <v>396</v>
      </c>
      <c r="Q95" s="594" t="s">
        <v>298</v>
      </c>
      <c r="R95" s="595"/>
      <c r="S95" s="596"/>
      <c r="T95" s="597" t="s">
        <v>300</v>
      </c>
      <c r="U95" s="599" t="s">
        <v>301</v>
      </c>
      <c r="V95" s="319"/>
      <c r="AA95" s="386"/>
      <c r="AB95" s="386"/>
      <c r="AC95" s="386"/>
      <c r="AD95" s="386"/>
      <c r="AE95" s="386"/>
      <c r="AF95" s="386"/>
      <c r="AG95" s="386"/>
      <c r="AH95" s="386"/>
      <c r="AI95" s="386"/>
      <c r="AJ95" s="386"/>
      <c r="AK95" s="386"/>
      <c r="AL95" s="386"/>
      <c r="AW95" s="386"/>
      <c r="AX95" s="386"/>
      <c r="AY95" s="386"/>
    </row>
    <row r="96" spans="3:51" ht="30" customHeight="1" thickBot="1" x14ac:dyDescent="0.25">
      <c r="C96" s="398"/>
      <c r="D96" s="406"/>
      <c r="E96" s="722"/>
      <c r="F96" s="724"/>
      <c r="G96" s="724"/>
      <c r="H96" s="724"/>
      <c r="I96" s="724"/>
      <c r="J96" s="724"/>
      <c r="K96" s="724"/>
      <c r="L96" s="724"/>
      <c r="M96" s="600"/>
      <c r="P96" s="607"/>
      <c r="Q96" s="594"/>
      <c r="R96" s="595"/>
      <c r="S96" s="596"/>
      <c r="T96" s="598"/>
      <c r="U96" s="600"/>
      <c r="V96" s="319"/>
      <c r="AA96" s="386"/>
      <c r="AB96" s="386"/>
      <c r="AC96" s="386"/>
      <c r="AD96" s="386"/>
      <c r="AE96" s="386"/>
      <c r="AF96" s="386"/>
      <c r="AG96" s="386"/>
      <c r="AH96" s="386"/>
      <c r="AI96" s="386"/>
      <c r="AJ96" s="386"/>
      <c r="AK96" s="386"/>
      <c r="AL96" s="386"/>
      <c r="AW96" s="386"/>
      <c r="AX96" s="386"/>
      <c r="AY96" s="386"/>
    </row>
    <row r="97" spans="2:51" ht="30" customHeight="1" thickBot="1" x14ac:dyDescent="0.25">
      <c r="B97" s="451"/>
      <c r="C97" s="452"/>
      <c r="D97" s="450"/>
      <c r="E97" s="450"/>
      <c r="F97" s="450"/>
      <c r="G97" s="450"/>
      <c r="H97" s="450"/>
      <c r="I97" s="450"/>
      <c r="J97" s="453"/>
      <c r="K97" s="453"/>
      <c r="L97" s="453"/>
      <c r="M97" s="453"/>
      <c r="P97" s="446"/>
      <c r="Q97" s="446"/>
      <c r="R97" s="446"/>
      <c r="S97" s="446"/>
      <c r="T97" s="447"/>
      <c r="U97" s="448"/>
      <c r="V97" s="319"/>
      <c r="AA97" s="386"/>
      <c r="AB97" s="386"/>
      <c r="AC97" s="386"/>
      <c r="AD97" s="386"/>
      <c r="AE97" s="386"/>
      <c r="AF97" s="386"/>
      <c r="AG97" s="386"/>
      <c r="AH97" s="386"/>
      <c r="AI97" s="386"/>
      <c r="AJ97" s="386"/>
      <c r="AK97" s="386"/>
      <c r="AL97" s="386"/>
      <c r="AW97" s="386"/>
      <c r="AX97" s="386"/>
      <c r="AY97" s="386"/>
    </row>
    <row r="98" spans="2:51" ht="30" customHeight="1" x14ac:dyDescent="0.2">
      <c r="B98" s="620" t="s">
        <v>388</v>
      </c>
      <c r="C98" s="621"/>
      <c r="D98" s="527" t="s">
        <v>398</v>
      </c>
      <c r="E98" s="614" t="s">
        <v>302</v>
      </c>
      <c r="F98" s="532" t="s">
        <v>344</v>
      </c>
      <c r="G98" s="500">
        <v>18.2</v>
      </c>
      <c r="H98" s="501">
        <v>0.1</v>
      </c>
      <c r="I98" s="502">
        <v>0</v>
      </c>
      <c r="J98" s="714">
        <v>0.2</v>
      </c>
      <c r="K98" s="714">
        <v>1.96</v>
      </c>
      <c r="L98" s="741">
        <v>42580</v>
      </c>
      <c r="M98" s="557" t="s">
        <v>331</v>
      </c>
      <c r="P98" s="445"/>
      <c r="Q98" s="437" t="s">
        <v>391</v>
      </c>
      <c r="R98" s="438" t="s">
        <v>392</v>
      </c>
      <c r="S98" s="438" t="s">
        <v>393</v>
      </c>
      <c r="T98" s="601" t="s">
        <v>408</v>
      </c>
      <c r="U98" s="604" t="s">
        <v>409</v>
      </c>
      <c r="V98" s="319"/>
      <c r="AA98" s="386"/>
      <c r="AB98" s="386"/>
      <c r="AC98" s="386"/>
      <c r="AD98" s="386"/>
      <c r="AE98" s="386"/>
      <c r="AF98" s="386"/>
      <c r="AG98" s="386"/>
      <c r="AH98" s="386"/>
      <c r="AI98" s="386"/>
      <c r="AJ98" s="386"/>
      <c r="AK98" s="386"/>
      <c r="AL98" s="386"/>
      <c r="AW98" s="386"/>
      <c r="AX98" s="386"/>
      <c r="AY98" s="386"/>
    </row>
    <row r="99" spans="2:51" ht="30" customHeight="1" x14ac:dyDescent="0.2">
      <c r="B99" s="622"/>
      <c r="C99" s="623"/>
      <c r="D99" s="528"/>
      <c r="E99" s="615"/>
      <c r="F99" s="533"/>
      <c r="G99" s="503">
        <v>20.100000000000001</v>
      </c>
      <c r="H99" s="504">
        <v>0.1</v>
      </c>
      <c r="I99" s="505">
        <v>0</v>
      </c>
      <c r="J99" s="580"/>
      <c r="K99" s="580"/>
      <c r="L99" s="742"/>
      <c r="M99" s="558"/>
      <c r="P99" s="530" t="s">
        <v>429</v>
      </c>
      <c r="Q99" s="439">
        <f>J98</f>
        <v>0.2</v>
      </c>
      <c r="R99" s="440">
        <f>J101</f>
        <v>1.7</v>
      </c>
      <c r="S99" s="440">
        <f>J104</f>
        <v>0.06</v>
      </c>
      <c r="T99" s="602"/>
      <c r="U99" s="605"/>
      <c r="V99" s="319"/>
      <c r="AA99" s="386"/>
      <c r="AB99" s="386"/>
      <c r="AC99" s="386"/>
      <c r="AD99" s="386"/>
      <c r="AE99" s="386"/>
      <c r="AF99" s="386"/>
      <c r="AG99" s="386"/>
      <c r="AH99" s="386"/>
      <c r="AI99" s="386"/>
      <c r="AJ99" s="386"/>
      <c r="AK99" s="386"/>
      <c r="AL99" s="386"/>
      <c r="AW99" s="386"/>
      <c r="AX99" s="386"/>
      <c r="AY99" s="386"/>
    </row>
    <row r="100" spans="2:51" ht="30" customHeight="1" thickBot="1" x14ac:dyDescent="0.25">
      <c r="B100" s="624"/>
      <c r="C100" s="625"/>
      <c r="D100" s="528"/>
      <c r="E100" s="615"/>
      <c r="F100" s="533"/>
      <c r="G100" s="506">
        <v>22</v>
      </c>
      <c r="H100" s="504">
        <v>0.1</v>
      </c>
      <c r="I100" s="505">
        <v>0</v>
      </c>
      <c r="J100" s="581"/>
      <c r="K100" s="581"/>
      <c r="L100" s="743"/>
      <c r="M100" s="559"/>
      <c r="P100" s="531"/>
      <c r="Q100" s="441"/>
      <c r="R100" s="442"/>
      <c r="S100" s="442"/>
      <c r="T100" s="603"/>
      <c r="U100" s="606"/>
      <c r="V100" s="319"/>
      <c r="AA100" s="386"/>
      <c r="AB100" s="386"/>
      <c r="AC100" s="386"/>
      <c r="AD100" s="386"/>
      <c r="AE100" s="386"/>
      <c r="AF100" s="386"/>
      <c r="AG100" s="386"/>
      <c r="AH100" s="386"/>
      <c r="AI100" s="386"/>
      <c r="AJ100" s="386"/>
      <c r="AK100" s="386"/>
      <c r="AL100" s="386"/>
      <c r="AW100" s="386"/>
      <c r="AX100" s="386"/>
      <c r="AY100" s="386"/>
    </row>
    <row r="101" spans="2:51" ht="30" customHeight="1" x14ac:dyDescent="0.2">
      <c r="B101" s="630" t="s">
        <v>389</v>
      </c>
      <c r="C101" s="631"/>
      <c r="D101" s="528"/>
      <c r="E101" s="615"/>
      <c r="F101" s="533"/>
      <c r="G101" s="507">
        <v>41.8</v>
      </c>
      <c r="H101" s="504">
        <v>0.1</v>
      </c>
      <c r="I101" s="507">
        <v>-1.8</v>
      </c>
      <c r="J101" s="579">
        <v>1.7</v>
      </c>
      <c r="K101" s="579">
        <v>1.96</v>
      </c>
      <c r="L101" s="744">
        <v>42586</v>
      </c>
      <c r="M101" s="560" t="s">
        <v>345</v>
      </c>
      <c r="P101" s="319"/>
      <c r="Q101" s="319"/>
      <c r="R101" s="319"/>
      <c r="S101" s="319"/>
      <c r="T101" s="319"/>
      <c r="U101" s="319"/>
      <c r="V101" s="319"/>
      <c r="AA101" s="386"/>
      <c r="AB101" s="386"/>
      <c r="AC101" s="386"/>
      <c r="AD101" s="386"/>
      <c r="AE101" s="386"/>
      <c r="AF101" s="386"/>
      <c r="AG101" s="386"/>
      <c r="AH101" s="386"/>
      <c r="AI101" s="386"/>
      <c r="AJ101" s="386"/>
      <c r="AK101" s="386"/>
      <c r="AL101" s="386"/>
      <c r="AW101" s="386"/>
      <c r="AX101" s="386"/>
      <c r="AY101" s="386"/>
    </row>
    <row r="102" spans="2:51" ht="30" customHeight="1" x14ac:dyDescent="0.2">
      <c r="B102" s="626"/>
      <c r="C102" s="627"/>
      <c r="D102" s="528"/>
      <c r="E102" s="615"/>
      <c r="F102" s="533"/>
      <c r="G102" s="507">
        <v>50.4</v>
      </c>
      <c r="H102" s="504">
        <v>0.1</v>
      </c>
      <c r="I102" s="507">
        <v>-0.4</v>
      </c>
      <c r="J102" s="580"/>
      <c r="K102" s="580"/>
      <c r="L102" s="742"/>
      <c r="M102" s="558"/>
      <c r="P102" s="319"/>
      <c r="Q102" s="319"/>
      <c r="R102" s="319"/>
      <c r="S102" s="319"/>
      <c r="T102" s="319"/>
      <c r="U102" s="319"/>
      <c r="V102" s="319"/>
      <c r="AA102" s="386"/>
      <c r="AB102" s="386"/>
      <c r="AC102" s="386"/>
      <c r="AD102" s="386"/>
      <c r="AE102" s="386"/>
      <c r="AF102" s="386"/>
      <c r="AG102" s="386"/>
      <c r="AH102" s="386"/>
      <c r="AI102" s="386"/>
      <c r="AJ102" s="386"/>
      <c r="AK102" s="386"/>
      <c r="AL102" s="386"/>
      <c r="AW102" s="386"/>
      <c r="AX102" s="386"/>
      <c r="AY102" s="386"/>
    </row>
    <row r="103" spans="2:51" ht="30" customHeight="1" thickBot="1" x14ac:dyDescent="0.25">
      <c r="B103" s="628"/>
      <c r="C103" s="629"/>
      <c r="D103" s="528"/>
      <c r="E103" s="615"/>
      <c r="F103" s="533"/>
      <c r="G103" s="507">
        <v>59.3</v>
      </c>
      <c r="H103" s="504">
        <v>0.1</v>
      </c>
      <c r="I103" s="507">
        <v>0.8</v>
      </c>
      <c r="J103" s="581"/>
      <c r="K103" s="581"/>
      <c r="L103" s="743"/>
      <c r="M103" s="559"/>
      <c r="P103" s="319"/>
      <c r="Q103" s="319"/>
      <c r="R103" s="319"/>
      <c r="S103" s="319"/>
      <c r="T103" s="319"/>
      <c r="V103" s="319"/>
      <c r="AA103" s="386"/>
      <c r="AB103" s="386"/>
      <c r="AC103" s="386"/>
      <c r="AD103" s="386"/>
      <c r="AE103" s="386"/>
      <c r="AF103" s="386"/>
      <c r="AG103" s="386"/>
      <c r="AH103" s="386"/>
      <c r="AI103" s="386"/>
      <c r="AJ103" s="386"/>
      <c r="AK103" s="386"/>
      <c r="AL103" s="386"/>
      <c r="AW103" s="386"/>
      <c r="AX103" s="386"/>
      <c r="AY103" s="386"/>
    </row>
    <row r="104" spans="2:51" ht="30" customHeight="1" x14ac:dyDescent="0.2">
      <c r="B104" s="626" t="s">
        <v>390</v>
      </c>
      <c r="C104" s="627"/>
      <c r="D104" s="528"/>
      <c r="E104" s="615"/>
      <c r="F104" s="533"/>
      <c r="G104" s="507">
        <v>397.9</v>
      </c>
      <c r="H104" s="503">
        <v>0.1</v>
      </c>
      <c r="I104" s="507">
        <v>-1.3</v>
      </c>
      <c r="J104" s="579">
        <v>0.06</v>
      </c>
      <c r="K104" s="579">
        <v>2</v>
      </c>
      <c r="L104" s="744">
        <v>42625</v>
      </c>
      <c r="M104" s="561" t="s">
        <v>346</v>
      </c>
      <c r="P104" s="319"/>
      <c r="Q104" s="319"/>
      <c r="R104" s="319"/>
      <c r="S104" s="319"/>
      <c r="T104" s="319"/>
      <c r="V104" s="319"/>
      <c r="AA104" s="386"/>
      <c r="AB104" s="386"/>
      <c r="AC104" s="386"/>
      <c r="AD104" s="386"/>
      <c r="AE104" s="386"/>
      <c r="AF104" s="386"/>
      <c r="AG104" s="386"/>
      <c r="AH104" s="386"/>
      <c r="AI104" s="386"/>
      <c r="AJ104" s="386"/>
      <c r="AK104" s="386"/>
      <c r="AL104" s="386"/>
      <c r="AW104" s="386"/>
      <c r="AX104" s="386"/>
      <c r="AY104" s="386"/>
    </row>
    <row r="105" spans="2:51" ht="30" customHeight="1" x14ac:dyDescent="0.2">
      <c r="B105" s="626"/>
      <c r="C105" s="627"/>
      <c r="D105" s="528"/>
      <c r="E105" s="615"/>
      <c r="F105" s="533"/>
      <c r="G105" s="503">
        <v>753.1</v>
      </c>
      <c r="H105" s="503">
        <v>0.1</v>
      </c>
      <c r="I105" s="503">
        <v>-0.74</v>
      </c>
      <c r="J105" s="580"/>
      <c r="K105" s="580"/>
      <c r="L105" s="742"/>
      <c r="M105" s="562"/>
      <c r="P105" s="319"/>
      <c r="Q105" s="319"/>
      <c r="R105" s="319"/>
      <c r="S105" s="319"/>
      <c r="T105" s="319"/>
      <c r="V105" s="319"/>
      <c r="AA105" s="386"/>
      <c r="AB105" s="386"/>
      <c r="AC105" s="386"/>
      <c r="AD105" s="386"/>
      <c r="AE105" s="386"/>
      <c r="AF105" s="386"/>
      <c r="AG105" s="386"/>
      <c r="AH105" s="386"/>
      <c r="AI105" s="386"/>
      <c r="AJ105" s="386"/>
      <c r="AK105" s="386"/>
      <c r="AL105" s="386"/>
      <c r="AW105" s="386"/>
      <c r="AX105" s="386"/>
      <c r="AY105" s="386"/>
    </row>
    <row r="106" spans="2:51" ht="30" customHeight="1" thickBot="1" x14ac:dyDescent="0.25">
      <c r="B106" s="628"/>
      <c r="C106" s="629"/>
      <c r="D106" s="529"/>
      <c r="E106" s="616"/>
      <c r="F106" s="534"/>
      <c r="G106" s="508">
        <v>899</v>
      </c>
      <c r="H106" s="509">
        <v>0.1</v>
      </c>
      <c r="I106" s="509">
        <v>-0.09</v>
      </c>
      <c r="J106" s="582"/>
      <c r="K106" s="582"/>
      <c r="L106" s="745"/>
      <c r="M106" s="563"/>
      <c r="P106" s="319"/>
      <c r="Q106" s="319"/>
      <c r="R106" s="319"/>
      <c r="S106" s="319"/>
      <c r="T106" s="319"/>
      <c r="V106" s="319"/>
      <c r="AA106" s="386"/>
      <c r="AB106" s="386"/>
      <c r="AC106" s="386"/>
      <c r="AD106" s="386"/>
      <c r="AE106" s="386"/>
      <c r="AF106" s="386"/>
      <c r="AG106" s="386"/>
      <c r="AH106" s="386"/>
      <c r="AI106" s="386"/>
      <c r="AJ106" s="386"/>
      <c r="AK106" s="386"/>
      <c r="AL106" s="386"/>
      <c r="AW106" s="386"/>
      <c r="AX106" s="386"/>
      <c r="AY106" s="386"/>
    </row>
    <row r="107" spans="2:51" ht="30" customHeight="1" thickBot="1" x14ac:dyDescent="0.25">
      <c r="B107" s="454"/>
      <c r="C107" s="454"/>
      <c r="D107" s="455"/>
      <c r="E107" s="456"/>
      <c r="F107" s="457"/>
      <c r="G107" s="458"/>
      <c r="H107" s="455"/>
      <c r="I107" s="455"/>
      <c r="J107" s="455"/>
      <c r="K107" s="455"/>
      <c r="L107" s="459"/>
      <c r="M107" s="455"/>
      <c r="P107" s="319"/>
      <c r="Q107" s="319"/>
      <c r="R107" s="319"/>
      <c r="S107" s="319"/>
      <c r="T107" s="319"/>
      <c r="V107" s="319"/>
      <c r="AA107" s="386"/>
      <c r="AB107" s="386"/>
      <c r="AC107" s="386"/>
      <c r="AD107" s="386"/>
      <c r="AE107" s="386"/>
      <c r="AF107" s="386"/>
      <c r="AG107" s="386"/>
      <c r="AH107" s="386"/>
      <c r="AI107" s="386"/>
      <c r="AJ107" s="386"/>
      <c r="AK107" s="386"/>
      <c r="AL107" s="386"/>
      <c r="AW107" s="386"/>
      <c r="AX107" s="386"/>
      <c r="AY107" s="386"/>
    </row>
    <row r="108" spans="2:51" ht="30" customHeight="1" thickBot="1" x14ac:dyDescent="0.25">
      <c r="B108" s="320"/>
      <c r="C108" s="320"/>
      <c r="D108" s="320"/>
      <c r="E108" s="320"/>
      <c r="F108" s="320"/>
      <c r="G108" s="320"/>
      <c r="H108" s="320"/>
      <c r="I108" s="320"/>
      <c r="J108" s="320"/>
      <c r="K108" s="320"/>
      <c r="L108" s="320"/>
      <c r="M108" s="320"/>
      <c r="P108" s="319"/>
      <c r="Q108" s="319"/>
      <c r="R108" s="319"/>
      <c r="S108" s="319"/>
      <c r="T108" s="319"/>
      <c r="V108" s="319"/>
      <c r="AA108" s="386"/>
      <c r="AB108" s="386"/>
      <c r="AC108" s="386"/>
      <c r="AD108" s="386"/>
      <c r="AE108" s="386"/>
      <c r="AF108" s="386"/>
      <c r="AG108" s="386"/>
      <c r="AH108" s="386"/>
      <c r="AI108" s="386"/>
      <c r="AJ108" s="386"/>
      <c r="AK108" s="386"/>
      <c r="AL108" s="386"/>
      <c r="AW108" s="386"/>
      <c r="AX108" s="386"/>
      <c r="AY108" s="386"/>
    </row>
    <row r="109" spans="2:51" ht="30" customHeight="1" x14ac:dyDescent="0.2">
      <c r="B109" s="620" t="s">
        <v>388</v>
      </c>
      <c r="C109" s="632"/>
      <c r="D109" s="643" t="s">
        <v>399</v>
      </c>
      <c r="E109" s="617" t="s">
        <v>302</v>
      </c>
      <c r="F109" s="535">
        <v>19506160802033</v>
      </c>
      <c r="G109" s="470">
        <v>20</v>
      </c>
      <c r="H109" s="472">
        <v>0.1</v>
      </c>
      <c r="I109" s="472">
        <v>-0.1</v>
      </c>
      <c r="J109" s="583">
        <v>1.5</v>
      </c>
      <c r="K109" s="586">
        <v>2</v>
      </c>
      <c r="L109" s="589">
        <v>42675</v>
      </c>
      <c r="M109" s="564" t="s">
        <v>341</v>
      </c>
      <c r="P109" s="466"/>
      <c r="Q109" s="467" t="s">
        <v>391</v>
      </c>
      <c r="R109" s="468" t="s">
        <v>392</v>
      </c>
      <c r="S109" s="468" t="s">
        <v>393</v>
      </c>
      <c r="T109" s="608" t="s">
        <v>394</v>
      </c>
      <c r="U109" s="609" t="s">
        <v>395</v>
      </c>
      <c r="V109" s="319"/>
      <c r="AA109" s="386"/>
      <c r="AB109" s="386"/>
      <c r="AC109" s="386"/>
      <c r="AD109" s="386"/>
      <c r="AE109" s="386"/>
      <c r="AF109" s="386"/>
      <c r="AG109" s="386"/>
      <c r="AH109" s="386"/>
      <c r="AI109" s="386"/>
      <c r="AJ109" s="386"/>
      <c r="AK109" s="386"/>
      <c r="AL109" s="386"/>
      <c r="AW109" s="386"/>
      <c r="AX109" s="386"/>
      <c r="AY109" s="386"/>
    </row>
    <row r="110" spans="2:51" ht="30" customHeight="1" x14ac:dyDescent="0.2">
      <c r="B110" s="633"/>
      <c r="C110" s="634"/>
      <c r="D110" s="644"/>
      <c r="E110" s="618"/>
      <c r="F110" s="536"/>
      <c r="G110" s="471">
        <v>28.1</v>
      </c>
      <c r="H110" s="471">
        <v>0.1</v>
      </c>
      <c r="I110" s="471">
        <v>0.1</v>
      </c>
      <c r="J110" s="584"/>
      <c r="K110" s="587"/>
      <c r="L110" s="574"/>
      <c r="M110" s="565"/>
      <c r="P110" s="530" t="s">
        <v>386</v>
      </c>
      <c r="Q110" s="439">
        <f>J109</f>
        <v>1.5</v>
      </c>
      <c r="R110" s="476">
        <f>J112</f>
        <v>1.6</v>
      </c>
      <c r="S110" s="477">
        <f>J115</f>
        <v>0.21</v>
      </c>
      <c r="T110" s="602"/>
      <c r="U110" s="605"/>
      <c r="V110" s="319"/>
      <c r="AA110" s="386"/>
      <c r="AB110" s="386"/>
      <c r="AC110" s="386"/>
      <c r="AD110" s="386"/>
      <c r="AE110" s="386"/>
      <c r="AF110" s="386"/>
      <c r="AG110" s="386"/>
      <c r="AH110" s="386"/>
      <c r="AI110" s="386"/>
      <c r="AJ110" s="386"/>
      <c r="AK110" s="386"/>
      <c r="AL110" s="386"/>
      <c r="AW110" s="386"/>
      <c r="AX110" s="386"/>
      <c r="AY110" s="386"/>
    </row>
    <row r="111" spans="2:51" ht="30" customHeight="1" thickBot="1" x14ac:dyDescent="0.25">
      <c r="B111" s="635"/>
      <c r="C111" s="636"/>
      <c r="D111" s="644"/>
      <c r="E111" s="618"/>
      <c r="F111" s="536"/>
      <c r="G111" s="471">
        <v>32.1</v>
      </c>
      <c r="H111" s="471">
        <v>0.1</v>
      </c>
      <c r="I111" s="471">
        <v>0.1</v>
      </c>
      <c r="J111" s="585"/>
      <c r="K111" s="588"/>
      <c r="L111" s="575"/>
      <c r="M111" s="566"/>
      <c r="P111" s="531"/>
      <c r="Q111" s="441"/>
      <c r="R111" s="442"/>
      <c r="S111" s="442"/>
      <c r="T111" s="603"/>
      <c r="U111" s="606"/>
      <c r="V111" s="319"/>
      <c r="AA111" s="386"/>
      <c r="AB111" s="386"/>
      <c r="AC111" s="386"/>
      <c r="AD111" s="386"/>
      <c r="AE111" s="386"/>
      <c r="AF111" s="386"/>
      <c r="AG111" s="386"/>
      <c r="AH111" s="386"/>
      <c r="AI111" s="386"/>
      <c r="AJ111" s="386"/>
      <c r="AK111" s="386"/>
      <c r="AL111" s="386"/>
      <c r="AW111" s="386"/>
      <c r="AX111" s="386"/>
      <c r="AY111" s="386"/>
    </row>
    <row r="112" spans="2:51" ht="30" customHeight="1" x14ac:dyDescent="0.2">
      <c r="B112" s="637" t="s">
        <v>389</v>
      </c>
      <c r="C112" s="638"/>
      <c r="D112" s="644"/>
      <c r="E112" s="618"/>
      <c r="F112" s="536"/>
      <c r="G112" s="471">
        <v>50.1</v>
      </c>
      <c r="H112" s="473">
        <v>0.1</v>
      </c>
      <c r="I112" s="473">
        <v>0.9</v>
      </c>
      <c r="J112" s="567">
        <v>1.6</v>
      </c>
      <c r="K112" s="570">
        <v>2</v>
      </c>
      <c r="L112" s="573">
        <v>42676</v>
      </c>
      <c r="M112" s="576" t="s">
        <v>342</v>
      </c>
      <c r="P112" s="319"/>
      <c r="Q112" s="319"/>
      <c r="R112" s="319"/>
      <c r="S112" s="319"/>
      <c r="V112" s="319"/>
      <c r="AA112" s="386"/>
      <c r="AB112" s="386"/>
      <c r="AC112" s="386"/>
      <c r="AD112" s="386"/>
      <c r="AE112" s="386"/>
      <c r="AF112" s="386"/>
      <c r="AG112" s="386"/>
      <c r="AH112" s="386"/>
      <c r="AI112" s="386"/>
      <c r="AJ112" s="386"/>
      <c r="AK112" s="386"/>
      <c r="AL112" s="386"/>
      <c r="AW112" s="386"/>
      <c r="AX112" s="386"/>
      <c r="AY112" s="386"/>
    </row>
    <row r="113" spans="2:51" ht="30" customHeight="1" x14ac:dyDescent="0.2">
      <c r="B113" s="639"/>
      <c r="C113" s="640"/>
      <c r="D113" s="644"/>
      <c r="E113" s="618"/>
      <c r="F113" s="536"/>
      <c r="G113" s="471">
        <v>59.9</v>
      </c>
      <c r="H113" s="473">
        <v>0.1</v>
      </c>
      <c r="I113" s="473">
        <v>0.5</v>
      </c>
      <c r="J113" s="568"/>
      <c r="K113" s="571"/>
      <c r="L113" s="574"/>
      <c r="M113" s="577"/>
      <c r="P113" s="319"/>
      <c r="Q113" s="319"/>
      <c r="R113" s="319"/>
      <c r="S113" s="319"/>
      <c r="V113" s="319"/>
      <c r="AA113" s="386"/>
      <c r="AB113" s="386"/>
      <c r="AC113" s="386"/>
      <c r="AD113" s="386"/>
      <c r="AE113" s="386"/>
      <c r="AF113" s="386"/>
      <c r="AG113" s="386"/>
      <c r="AH113" s="386"/>
      <c r="AI113" s="386"/>
      <c r="AJ113" s="386"/>
      <c r="AK113" s="386"/>
      <c r="AL113" s="386"/>
      <c r="AW113" s="386"/>
      <c r="AX113" s="386"/>
      <c r="AY113" s="386"/>
    </row>
    <row r="114" spans="2:51" ht="30" customHeight="1" thickBot="1" x14ac:dyDescent="0.25">
      <c r="B114" s="641"/>
      <c r="C114" s="642"/>
      <c r="D114" s="644"/>
      <c r="E114" s="618"/>
      <c r="F114" s="536"/>
      <c r="G114" s="471">
        <v>69.099999999999994</v>
      </c>
      <c r="H114" s="473">
        <v>0.1</v>
      </c>
      <c r="I114" s="473">
        <v>0.1</v>
      </c>
      <c r="J114" s="569"/>
      <c r="K114" s="572"/>
      <c r="L114" s="575"/>
      <c r="M114" s="578"/>
      <c r="P114" s="319"/>
      <c r="Q114" s="319"/>
      <c r="R114" s="319"/>
      <c r="S114" s="319"/>
      <c r="V114" s="319"/>
      <c r="AA114" s="386"/>
      <c r="AB114" s="386"/>
      <c r="AC114" s="386"/>
      <c r="AD114" s="386"/>
      <c r="AE114" s="386"/>
      <c r="AF114" s="386"/>
      <c r="AG114" s="386"/>
      <c r="AH114" s="386"/>
      <c r="AI114" s="386"/>
      <c r="AJ114" s="386"/>
      <c r="AK114" s="386"/>
      <c r="AL114" s="386"/>
      <c r="AW114" s="386"/>
      <c r="AX114" s="386"/>
      <c r="AY114" s="386"/>
    </row>
    <row r="115" spans="2:51" ht="30" customHeight="1" x14ac:dyDescent="0.2">
      <c r="B115" s="637" t="s">
        <v>390</v>
      </c>
      <c r="C115" s="638"/>
      <c r="D115" s="644"/>
      <c r="E115" s="618"/>
      <c r="F115" s="536"/>
      <c r="G115" s="478">
        <v>499</v>
      </c>
      <c r="H115" s="473">
        <v>0.1</v>
      </c>
      <c r="I115" s="473">
        <v>-1</v>
      </c>
      <c r="J115" s="733">
        <v>0.21</v>
      </c>
      <c r="K115" s="570">
        <v>1.6</v>
      </c>
      <c r="L115" s="573">
        <v>42671</v>
      </c>
      <c r="M115" s="738" t="s">
        <v>343</v>
      </c>
      <c r="P115" s="319"/>
      <c r="Q115" s="319"/>
      <c r="R115" s="319"/>
      <c r="S115" s="319"/>
      <c r="U115" s="413"/>
      <c r="V115" s="319"/>
      <c r="AA115" s="386"/>
      <c r="AB115" s="386"/>
      <c r="AC115" s="386"/>
      <c r="AD115" s="386"/>
      <c r="AE115" s="386"/>
      <c r="AF115" s="386"/>
      <c r="AG115" s="386"/>
      <c r="AH115" s="386"/>
      <c r="AI115" s="386"/>
      <c r="AJ115" s="386"/>
      <c r="AK115" s="386"/>
      <c r="AL115" s="386"/>
      <c r="AW115" s="386"/>
      <c r="AX115" s="386"/>
      <c r="AY115" s="386"/>
    </row>
    <row r="116" spans="2:51" ht="30" customHeight="1" x14ac:dyDescent="0.2">
      <c r="B116" s="639"/>
      <c r="C116" s="640"/>
      <c r="D116" s="644"/>
      <c r="E116" s="618"/>
      <c r="F116" s="536"/>
      <c r="G116" s="471">
        <v>799.8</v>
      </c>
      <c r="H116" s="473">
        <v>0.1</v>
      </c>
      <c r="I116" s="473">
        <v>-0.4</v>
      </c>
      <c r="J116" s="734"/>
      <c r="K116" s="571"/>
      <c r="L116" s="574"/>
      <c r="M116" s="739"/>
      <c r="P116" s="319"/>
      <c r="Q116" s="319"/>
      <c r="R116" s="319"/>
      <c r="S116" s="319"/>
      <c r="U116" s="384"/>
      <c r="V116" s="319"/>
      <c r="AA116" s="386"/>
      <c r="AB116" s="386"/>
      <c r="AC116" s="386"/>
      <c r="AD116" s="386"/>
      <c r="AE116" s="386"/>
      <c r="AF116" s="386"/>
      <c r="AG116" s="386"/>
      <c r="AH116" s="386"/>
      <c r="AI116" s="386"/>
      <c r="AJ116" s="386"/>
      <c r="AK116" s="386"/>
      <c r="AL116" s="386"/>
      <c r="AW116" s="386"/>
      <c r="AX116" s="386"/>
      <c r="AY116" s="386"/>
    </row>
    <row r="117" spans="2:51" ht="30" customHeight="1" thickBot="1" x14ac:dyDescent="0.25">
      <c r="B117" s="641"/>
      <c r="C117" s="642"/>
      <c r="D117" s="531"/>
      <c r="E117" s="619"/>
      <c r="F117" s="537"/>
      <c r="G117" s="474">
        <v>1099.8</v>
      </c>
      <c r="H117" s="475">
        <v>0.1</v>
      </c>
      <c r="I117" s="475">
        <v>-0.4</v>
      </c>
      <c r="J117" s="735"/>
      <c r="K117" s="736"/>
      <c r="L117" s="737"/>
      <c r="M117" s="740"/>
      <c r="P117" s="319"/>
      <c r="Q117" s="319"/>
      <c r="R117" s="319"/>
      <c r="S117" s="319"/>
      <c r="U117" s="384"/>
      <c r="V117" s="319"/>
      <c r="AA117" s="386"/>
      <c r="AB117" s="386"/>
      <c r="AC117" s="386"/>
      <c r="AD117" s="386"/>
      <c r="AE117" s="386"/>
      <c r="AF117" s="386"/>
      <c r="AG117" s="386"/>
      <c r="AH117" s="386"/>
      <c r="AI117" s="386"/>
      <c r="AJ117" s="386"/>
      <c r="AK117" s="386"/>
      <c r="AL117" s="386"/>
      <c r="AW117" s="386"/>
      <c r="AX117" s="386"/>
      <c r="AY117" s="386"/>
    </row>
    <row r="118" spans="2:51" ht="30" customHeight="1" thickBot="1" x14ac:dyDescent="0.25">
      <c r="B118" s="460"/>
      <c r="C118" s="461"/>
      <c r="D118" s="425"/>
      <c r="E118" s="462"/>
      <c r="F118" s="463"/>
      <c r="G118" s="425"/>
      <c r="H118" s="425"/>
      <c r="I118" s="425"/>
      <c r="J118" s="425"/>
      <c r="K118" s="425"/>
      <c r="L118" s="464"/>
      <c r="M118" s="465"/>
      <c r="P118" s="319"/>
      <c r="Q118" s="319"/>
      <c r="R118" s="319"/>
      <c r="S118" s="319"/>
      <c r="U118" s="384"/>
      <c r="V118" s="319"/>
      <c r="AA118" s="386"/>
      <c r="AB118" s="386"/>
      <c r="AC118" s="386"/>
      <c r="AD118" s="386"/>
      <c r="AE118" s="386"/>
      <c r="AF118" s="386"/>
      <c r="AG118" s="386"/>
      <c r="AH118" s="386"/>
      <c r="AI118" s="386"/>
      <c r="AJ118" s="386"/>
      <c r="AK118" s="386"/>
      <c r="AL118" s="386"/>
      <c r="AW118" s="386"/>
      <c r="AX118" s="386"/>
      <c r="AY118" s="386"/>
    </row>
    <row r="119" spans="2:51" ht="30" customHeight="1" thickBot="1" x14ac:dyDescent="0.25">
      <c r="B119" s="451"/>
      <c r="C119" s="453"/>
      <c r="D119" s="453"/>
      <c r="E119" s="453"/>
      <c r="F119" s="453"/>
      <c r="G119" s="453"/>
      <c r="H119" s="453"/>
      <c r="I119" s="453"/>
      <c r="J119" s="453"/>
      <c r="K119" s="453"/>
      <c r="L119" s="453"/>
      <c r="M119" s="453"/>
      <c r="P119" s="319"/>
      <c r="Q119" s="319"/>
      <c r="R119" s="319"/>
      <c r="S119" s="319"/>
      <c r="U119" s="384"/>
      <c r="V119" s="319"/>
      <c r="AA119" s="386"/>
      <c r="AB119" s="386"/>
      <c r="AC119" s="386"/>
      <c r="AD119" s="386"/>
      <c r="AE119" s="386"/>
      <c r="AF119" s="386"/>
      <c r="AG119" s="386"/>
      <c r="AH119" s="386"/>
      <c r="AI119" s="386"/>
      <c r="AJ119" s="386"/>
      <c r="AK119" s="386"/>
      <c r="AL119" s="386"/>
      <c r="AW119" s="386"/>
      <c r="AX119" s="386"/>
      <c r="AY119" s="386"/>
    </row>
    <row r="120" spans="2:51" ht="30" customHeight="1" x14ac:dyDescent="0.2">
      <c r="B120" s="620" t="s">
        <v>388</v>
      </c>
      <c r="C120" s="632"/>
      <c r="D120" s="527" t="s">
        <v>428</v>
      </c>
      <c r="E120" s="549" t="s">
        <v>302</v>
      </c>
      <c r="F120" s="532">
        <v>19406160802033</v>
      </c>
      <c r="G120" s="502">
        <v>16</v>
      </c>
      <c r="H120" s="501">
        <v>0.1</v>
      </c>
      <c r="I120" s="501">
        <v>-0.1</v>
      </c>
      <c r="J120" s="554">
        <v>1.5</v>
      </c>
      <c r="K120" s="554">
        <v>2</v>
      </c>
      <c r="L120" s="555">
        <v>42674</v>
      </c>
      <c r="M120" s="556" t="s">
        <v>339</v>
      </c>
      <c r="P120" s="466"/>
      <c r="Q120" s="467" t="s">
        <v>391</v>
      </c>
      <c r="R120" s="468" t="s">
        <v>392</v>
      </c>
      <c r="S120" s="468" t="s">
        <v>393</v>
      </c>
      <c r="T120" s="608" t="s">
        <v>410</v>
      </c>
      <c r="U120" s="609" t="s">
        <v>411</v>
      </c>
      <c r="V120" s="319"/>
      <c r="AA120" s="386"/>
      <c r="AB120" s="386"/>
      <c r="AC120" s="386"/>
      <c r="AD120" s="386"/>
      <c r="AE120" s="386"/>
      <c r="AF120" s="386"/>
      <c r="AG120" s="386"/>
      <c r="AH120" s="386"/>
      <c r="AI120" s="386"/>
      <c r="AJ120" s="386"/>
      <c r="AK120" s="386"/>
      <c r="AL120" s="386"/>
      <c r="AW120" s="386"/>
      <c r="AX120" s="386"/>
      <c r="AY120" s="386"/>
    </row>
    <row r="121" spans="2:51" ht="30" customHeight="1" x14ac:dyDescent="0.2">
      <c r="B121" s="633"/>
      <c r="C121" s="634"/>
      <c r="D121" s="528"/>
      <c r="E121" s="550"/>
      <c r="F121" s="533"/>
      <c r="G121" s="503">
        <v>20.100000000000001</v>
      </c>
      <c r="H121" s="503">
        <v>0.1</v>
      </c>
      <c r="I121" s="503">
        <v>-0.1</v>
      </c>
      <c r="J121" s="540"/>
      <c r="K121" s="540"/>
      <c r="L121" s="540"/>
      <c r="M121" s="547" t="s">
        <v>338</v>
      </c>
      <c r="P121" s="530" t="s">
        <v>428</v>
      </c>
      <c r="Q121" s="439">
        <f>J120</f>
        <v>1.5</v>
      </c>
      <c r="R121" s="440">
        <f>J123</f>
        <v>1.6</v>
      </c>
      <c r="S121" s="440">
        <f>J126</f>
        <v>0.21</v>
      </c>
      <c r="T121" s="602"/>
      <c r="U121" s="605"/>
      <c r="V121" s="319"/>
      <c r="AA121" s="386"/>
      <c r="AB121" s="386"/>
      <c r="AC121" s="386"/>
      <c r="AD121" s="386"/>
      <c r="AE121" s="386"/>
      <c r="AF121" s="386"/>
      <c r="AG121" s="386"/>
      <c r="AH121" s="386"/>
      <c r="AI121" s="386"/>
      <c r="AJ121" s="386"/>
      <c r="AK121" s="386"/>
      <c r="AL121" s="386"/>
      <c r="AW121" s="386"/>
      <c r="AX121" s="386"/>
      <c r="AY121" s="386"/>
    </row>
    <row r="122" spans="2:51" ht="30" customHeight="1" thickBot="1" x14ac:dyDescent="0.25">
      <c r="B122" s="635"/>
      <c r="C122" s="636"/>
      <c r="D122" s="528"/>
      <c r="E122" s="550"/>
      <c r="F122" s="533"/>
      <c r="G122" s="503">
        <v>24.4</v>
      </c>
      <c r="H122" s="504">
        <v>0.1</v>
      </c>
      <c r="I122" s="503">
        <v>0.1</v>
      </c>
      <c r="J122" s="540"/>
      <c r="K122" s="540"/>
      <c r="L122" s="540"/>
      <c r="M122" s="547"/>
      <c r="P122" s="531"/>
      <c r="Q122" s="441"/>
      <c r="R122" s="442"/>
      <c r="S122" s="442"/>
      <c r="T122" s="603"/>
      <c r="U122" s="606"/>
      <c r="V122" s="319"/>
      <c r="AA122" s="386"/>
      <c r="AB122" s="386"/>
      <c r="AC122" s="386"/>
      <c r="AD122" s="386"/>
      <c r="AE122" s="386"/>
      <c r="AF122" s="386"/>
      <c r="AG122" s="386"/>
      <c r="AH122" s="386"/>
      <c r="AI122" s="386"/>
      <c r="AJ122" s="386"/>
      <c r="AK122" s="386"/>
      <c r="AL122" s="386"/>
      <c r="AW122" s="386"/>
      <c r="AX122" s="386"/>
      <c r="AY122" s="386"/>
    </row>
    <row r="123" spans="2:51" ht="30" customHeight="1" x14ac:dyDescent="0.2">
      <c r="B123" s="630" t="s">
        <v>389</v>
      </c>
      <c r="C123" s="631"/>
      <c r="D123" s="528"/>
      <c r="E123" s="550"/>
      <c r="F123" s="533"/>
      <c r="G123" s="503">
        <v>39.5</v>
      </c>
      <c r="H123" s="503">
        <v>0.1</v>
      </c>
      <c r="I123" s="503">
        <v>0.79</v>
      </c>
      <c r="J123" s="539">
        <v>1.6</v>
      </c>
      <c r="K123" s="539">
        <v>2</v>
      </c>
      <c r="L123" s="555">
        <v>42674</v>
      </c>
      <c r="M123" s="546" t="s">
        <v>338</v>
      </c>
      <c r="P123" s="319"/>
      <c r="Q123" s="319"/>
      <c r="R123" s="319"/>
      <c r="S123" s="319"/>
      <c r="U123" s="384"/>
      <c r="V123" s="319"/>
      <c r="AA123" s="386"/>
      <c r="AB123" s="386"/>
      <c r="AC123" s="386"/>
      <c r="AD123" s="386"/>
      <c r="AE123" s="386"/>
      <c r="AF123" s="386"/>
      <c r="AG123" s="386"/>
      <c r="AH123" s="386"/>
      <c r="AI123" s="386"/>
      <c r="AJ123" s="386"/>
      <c r="AK123" s="386"/>
      <c r="AL123" s="386"/>
      <c r="AW123" s="386"/>
      <c r="AX123" s="386"/>
      <c r="AY123" s="386"/>
    </row>
    <row r="124" spans="2:51" ht="30" customHeight="1" x14ac:dyDescent="0.2">
      <c r="B124" s="626"/>
      <c r="C124" s="627"/>
      <c r="D124" s="528"/>
      <c r="E124" s="550"/>
      <c r="F124" s="533"/>
      <c r="G124" s="503">
        <v>49.8</v>
      </c>
      <c r="H124" s="503">
        <v>0.1</v>
      </c>
      <c r="I124" s="503">
        <v>0.63</v>
      </c>
      <c r="J124" s="540">
        <v>1.6</v>
      </c>
      <c r="K124" s="540">
        <v>2</v>
      </c>
      <c r="L124" s="540"/>
      <c r="M124" s="547" t="s">
        <v>339</v>
      </c>
      <c r="P124" s="319"/>
      <c r="Q124" s="319"/>
      <c r="R124" s="319"/>
      <c r="S124" s="319"/>
      <c r="U124" s="384"/>
      <c r="V124" s="319"/>
      <c r="AA124" s="386"/>
      <c r="AB124" s="386"/>
      <c r="AC124" s="386"/>
      <c r="AD124" s="386"/>
      <c r="AE124" s="386"/>
      <c r="AF124" s="386"/>
      <c r="AG124" s="386"/>
      <c r="AH124" s="386"/>
      <c r="AI124" s="386"/>
      <c r="AJ124" s="386"/>
      <c r="AK124" s="386"/>
      <c r="AL124" s="386"/>
      <c r="AW124" s="386"/>
      <c r="AX124" s="386"/>
      <c r="AY124" s="386"/>
    </row>
    <row r="125" spans="2:51" ht="30" customHeight="1" thickBot="1" x14ac:dyDescent="0.25">
      <c r="B125" s="628"/>
      <c r="C125" s="629"/>
      <c r="D125" s="528"/>
      <c r="E125" s="550"/>
      <c r="F125" s="533"/>
      <c r="G125" s="503">
        <v>59.3</v>
      </c>
      <c r="H125" s="503">
        <v>0.1</v>
      </c>
      <c r="I125" s="503">
        <v>-0.13</v>
      </c>
      <c r="J125" s="540"/>
      <c r="K125" s="540"/>
      <c r="L125" s="540"/>
      <c r="M125" s="547"/>
      <c r="P125" s="319"/>
      <c r="Q125" s="319"/>
      <c r="R125" s="319"/>
      <c r="S125" s="319"/>
      <c r="U125" s="384"/>
      <c r="V125" s="319"/>
      <c r="AA125" s="386"/>
      <c r="AB125" s="386"/>
      <c r="AC125" s="386"/>
      <c r="AD125" s="386"/>
      <c r="AE125" s="386"/>
      <c r="AF125" s="386"/>
      <c r="AG125" s="386"/>
      <c r="AH125" s="386"/>
      <c r="AI125" s="386"/>
      <c r="AJ125" s="386"/>
      <c r="AK125" s="386"/>
      <c r="AL125" s="386"/>
      <c r="AW125" s="386"/>
      <c r="AX125" s="386"/>
      <c r="AY125" s="386"/>
    </row>
    <row r="126" spans="2:51" ht="30" customHeight="1" x14ac:dyDescent="0.2">
      <c r="B126" s="630" t="s">
        <v>390</v>
      </c>
      <c r="C126" s="631"/>
      <c r="D126" s="528"/>
      <c r="E126" s="550"/>
      <c r="F126" s="533"/>
      <c r="G126" s="510">
        <v>499</v>
      </c>
      <c r="H126" s="503">
        <v>0.1</v>
      </c>
      <c r="I126" s="510">
        <v>-1</v>
      </c>
      <c r="J126" s="539">
        <v>0.21</v>
      </c>
      <c r="K126" s="539">
        <v>2</v>
      </c>
      <c r="L126" s="545">
        <v>42671</v>
      </c>
      <c r="M126" s="546" t="s">
        <v>340</v>
      </c>
      <c r="P126" s="319"/>
      <c r="Q126" s="319"/>
      <c r="R126" s="319"/>
      <c r="S126" s="319"/>
      <c r="U126" s="384"/>
      <c r="V126" s="319"/>
      <c r="AA126" s="386"/>
      <c r="AB126" s="386"/>
      <c r="AC126" s="386"/>
      <c r="AD126" s="386"/>
      <c r="AE126" s="386"/>
      <c r="AF126" s="386"/>
      <c r="AG126" s="386"/>
      <c r="AH126" s="386"/>
      <c r="AI126" s="386"/>
      <c r="AJ126" s="386"/>
      <c r="AK126" s="386"/>
      <c r="AL126" s="386"/>
      <c r="AM126" s="386"/>
      <c r="AN126" s="386"/>
      <c r="AO126" s="386"/>
      <c r="AP126" s="386"/>
      <c r="AQ126" s="386"/>
      <c r="AR126" s="386"/>
      <c r="AS126" s="386"/>
      <c r="AT126" s="386"/>
      <c r="AU126" s="386"/>
      <c r="AV126" s="386"/>
      <c r="AW126" s="386"/>
      <c r="AX126" s="386"/>
      <c r="AY126" s="386"/>
    </row>
    <row r="127" spans="2:51" ht="30" customHeight="1" x14ac:dyDescent="0.2">
      <c r="B127" s="626"/>
      <c r="C127" s="627"/>
      <c r="D127" s="528"/>
      <c r="E127" s="550"/>
      <c r="F127" s="533"/>
      <c r="G127" s="503">
        <v>799.8</v>
      </c>
      <c r="H127" s="503">
        <v>0.1</v>
      </c>
      <c r="I127" s="510">
        <v>-0.4</v>
      </c>
      <c r="J127" s="540">
        <v>0.17</v>
      </c>
      <c r="K127" s="540">
        <v>2</v>
      </c>
      <c r="L127" s="540">
        <v>42671</v>
      </c>
      <c r="M127" s="547" t="s">
        <v>340</v>
      </c>
      <c r="P127" s="319"/>
      <c r="Q127" s="319"/>
      <c r="R127" s="319"/>
      <c r="S127" s="319"/>
      <c r="U127" s="384"/>
      <c r="V127" s="319"/>
      <c r="AA127" s="386"/>
      <c r="AB127" s="386"/>
      <c r="AC127" s="386"/>
      <c r="AD127" s="386"/>
      <c r="AE127" s="386"/>
      <c r="AF127" s="386"/>
      <c r="AG127" s="386"/>
      <c r="AH127" s="386"/>
      <c r="AI127" s="386"/>
      <c r="AJ127" s="386"/>
      <c r="AK127" s="386"/>
      <c r="AL127" s="386"/>
      <c r="AM127" s="386"/>
      <c r="AN127" s="386"/>
      <c r="AO127" s="386"/>
      <c r="AP127" s="386"/>
      <c r="AQ127" s="386"/>
      <c r="AR127" s="386"/>
      <c r="AS127" s="386"/>
      <c r="AT127" s="386"/>
      <c r="AU127" s="386"/>
      <c r="AV127" s="386"/>
      <c r="AW127" s="386"/>
      <c r="AX127" s="386"/>
      <c r="AY127" s="386"/>
    </row>
    <row r="128" spans="2:51" ht="30" customHeight="1" thickBot="1" x14ac:dyDescent="0.25">
      <c r="B128" s="628"/>
      <c r="C128" s="629"/>
      <c r="D128" s="529"/>
      <c r="E128" s="551"/>
      <c r="F128" s="534"/>
      <c r="G128" s="509">
        <v>1099.9000000000001</v>
      </c>
      <c r="H128" s="509">
        <v>0.1</v>
      </c>
      <c r="I128" s="508">
        <v>-0.3</v>
      </c>
      <c r="J128" s="541"/>
      <c r="K128" s="541"/>
      <c r="L128" s="541"/>
      <c r="M128" s="548"/>
      <c r="P128" s="319"/>
      <c r="Q128" s="319"/>
      <c r="R128" s="319"/>
      <c r="S128" s="319"/>
      <c r="U128" s="384"/>
      <c r="V128" s="319"/>
      <c r="AA128" s="386"/>
      <c r="AB128" s="386"/>
      <c r="AC128" s="386"/>
      <c r="AD128" s="386"/>
      <c r="AE128" s="386"/>
      <c r="AF128" s="386"/>
      <c r="AG128" s="386"/>
      <c r="AH128" s="386"/>
      <c r="AI128" s="386"/>
      <c r="AJ128" s="386"/>
      <c r="AK128" s="386"/>
      <c r="AL128" s="386"/>
      <c r="AM128" s="386"/>
      <c r="AN128" s="386"/>
      <c r="AO128" s="386"/>
      <c r="AP128" s="386"/>
      <c r="AQ128" s="386"/>
      <c r="AR128" s="386"/>
      <c r="AS128" s="386"/>
      <c r="AT128" s="386"/>
      <c r="AU128" s="386"/>
      <c r="AV128" s="386"/>
      <c r="AW128" s="386"/>
      <c r="AX128" s="386"/>
      <c r="AY128" s="386"/>
    </row>
    <row r="129" spans="2:51" ht="30" customHeight="1" thickBot="1" x14ac:dyDescent="0.25">
      <c r="B129" s="481"/>
      <c r="C129" s="320"/>
      <c r="D129" s="320"/>
      <c r="E129" s="320"/>
      <c r="F129" s="320"/>
      <c r="G129" s="320"/>
      <c r="H129" s="320"/>
      <c r="I129" s="320"/>
      <c r="J129" s="320"/>
      <c r="K129" s="320"/>
      <c r="L129" s="320"/>
      <c r="M129" s="320"/>
      <c r="P129" s="319"/>
      <c r="Q129" s="319"/>
      <c r="R129" s="319"/>
      <c r="S129" s="319"/>
      <c r="U129" s="384"/>
      <c r="V129" s="319"/>
      <c r="AA129" s="386"/>
      <c r="AB129" s="386"/>
      <c r="AC129" s="386"/>
      <c r="AD129" s="386"/>
      <c r="AE129" s="386"/>
      <c r="AF129" s="386"/>
      <c r="AG129" s="386"/>
      <c r="AH129" s="386"/>
      <c r="AI129" s="386"/>
      <c r="AJ129" s="386"/>
      <c r="AK129" s="386"/>
      <c r="AL129" s="386"/>
      <c r="AM129" s="386"/>
      <c r="AN129" s="386"/>
      <c r="AO129" s="386"/>
      <c r="AP129" s="386"/>
      <c r="AQ129" s="386"/>
      <c r="AR129" s="386"/>
      <c r="AS129" s="386"/>
      <c r="AT129" s="386"/>
      <c r="AU129" s="386"/>
      <c r="AV129" s="386"/>
      <c r="AW129" s="386"/>
      <c r="AX129" s="386"/>
      <c r="AY129" s="386"/>
    </row>
    <row r="130" spans="2:51" ht="30" customHeight="1" x14ac:dyDescent="0.2">
      <c r="B130" s="610" t="s">
        <v>388</v>
      </c>
      <c r="C130" s="611"/>
      <c r="D130" s="527" t="s">
        <v>400</v>
      </c>
      <c r="E130" s="549" t="s">
        <v>302</v>
      </c>
      <c r="F130" s="532" t="s">
        <v>334</v>
      </c>
      <c r="G130" s="501">
        <v>18.100000000000001</v>
      </c>
      <c r="H130" s="501">
        <v>0.1</v>
      </c>
      <c r="I130" s="502">
        <v>0</v>
      </c>
      <c r="J130" s="552">
        <v>0.2</v>
      </c>
      <c r="K130" s="554">
        <v>1.96</v>
      </c>
      <c r="L130" s="555">
        <v>42580</v>
      </c>
      <c r="M130" s="556" t="s">
        <v>402</v>
      </c>
      <c r="P130" s="466"/>
      <c r="Q130" s="467" t="s">
        <v>391</v>
      </c>
      <c r="R130" s="468" t="s">
        <v>392</v>
      </c>
      <c r="S130" s="468" t="s">
        <v>393</v>
      </c>
      <c r="T130" s="608" t="s">
        <v>408</v>
      </c>
      <c r="U130" s="609" t="s">
        <v>412</v>
      </c>
      <c r="V130" s="319"/>
      <c r="AA130" s="386"/>
      <c r="AB130" s="386"/>
      <c r="AC130" s="386"/>
      <c r="AD130" s="386"/>
      <c r="AE130" s="386"/>
      <c r="AF130" s="386"/>
      <c r="AG130" s="386"/>
      <c r="AH130" s="386"/>
      <c r="AI130" s="386"/>
      <c r="AJ130" s="386"/>
      <c r="AK130" s="386"/>
      <c r="AL130" s="386"/>
      <c r="AM130" s="386"/>
      <c r="AN130" s="386"/>
      <c r="AO130" s="386"/>
      <c r="AP130" s="386"/>
      <c r="AQ130" s="386"/>
      <c r="AR130" s="386"/>
      <c r="AS130" s="386"/>
      <c r="AT130" s="386"/>
      <c r="AU130" s="386"/>
      <c r="AV130" s="386"/>
      <c r="AW130" s="386"/>
      <c r="AX130" s="386"/>
      <c r="AY130" s="386"/>
    </row>
    <row r="131" spans="2:51" ht="30" customHeight="1" x14ac:dyDescent="0.2">
      <c r="B131" s="612"/>
      <c r="C131" s="613"/>
      <c r="D131" s="528"/>
      <c r="E131" s="550"/>
      <c r="F131" s="533"/>
      <c r="G131" s="503">
        <v>20.100000000000001</v>
      </c>
      <c r="H131" s="503">
        <v>0.1</v>
      </c>
      <c r="I131" s="510">
        <v>0</v>
      </c>
      <c r="J131" s="553"/>
      <c r="K131" s="540"/>
      <c r="L131" s="540"/>
      <c r="M131" s="547"/>
      <c r="P131" s="530" t="s">
        <v>430</v>
      </c>
      <c r="Q131" s="480">
        <f>J130</f>
        <v>0.2</v>
      </c>
      <c r="R131" s="440">
        <f>J133</f>
        <v>1.7</v>
      </c>
      <c r="S131" s="440">
        <f>J136</f>
        <v>6.4000000000000001E-2</v>
      </c>
      <c r="T131" s="602"/>
      <c r="U131" s="605"/>
      <c r="V131" s="319"/>
      <c r="AA131" s="386"/>
      <c r="AB131" s="386"/>
      <c r="AC131" s="386"/>
      <c r="AD131" s="386"/>
      <c r="AE131" s="386"/>
      <c r="AF131" s="386"/>
      <c r="AG131" s="386"/>
      <c r="AH131" s="386"/>
      <c r="AI131" s="386"/>
      <c r="AJ131" s="386"/>
      <c r="AK131" s="386"/>
      <c r="AL131" s="386"/>
      <c r="AM131" s="386"/>
      <c r="AN131" s="386"/>
      <c r="AO131" s="386"/>
      <c r="AP131" s="386"/>
      <c r="AQ131" s="386"/>
      <c r="AR131" s="386"/>
      <c r="AS131" s="386"/>
      <c r="AT131" s="386"/>
      <c r="AU131" s="386"/>
      <c r="AV131" s="386"/>
      <c r="AW131" s="386"/>
      <c r="AX131" s="386"/>
      <c r="AY131" s="386"/>
    </row>
    <row r="132" spans="2:51" ht="30" customHeight="1" thickBot="1" x14ac:dyDescent="0.25">
      <c r="B132" s="612"/>
      <c r="C132" s="613"/>
      <c r="D132" s="528"/>
      <c r="E132" s="550"/>
      <c r="F132" s="533"/>
      <c r="G132" s="510">
        <v>22</v>
      </c>
      <c r="H132" s="503">
        <v>0.1</v>
      </c>
      <c r="I132" s="510">
        <v>0</v>
      </c>
      <c r="J132" s="553">
        <v>0.2</v>
      </c>
      <c r="K132" s="540">
        <v>1.96</v>
      </c>
      <c r="L132" s="540">
        <v>42580</v>
      </c>
      <c r="M132" s="547" t="s">
        <v>335</v>
      </c>
      <c r="P132" s="531"/>
      <c r="Q132" s="441"/>
      <c r="R132" s="442"/>
      <c r="S132" s="442"/>
      <c r="T132" s="603"/>
      <c r="U132" s="606"/>
      <c r="V132" s="319"/>
      <c r="AA132" s="386"/>
      <c r="AB132" s="386"/>
      <c r="AC132" s="386"/>
      <c r="AD132" s="386"/>
      <c r="AE132" s="386"/>
      <c r="AF132" s="386"/>
      <c r="AG132" s="386"/>
      <c r="AH132" s="386"/>
      <c r="AI132" s="386"/>
      <c r="AJ132" s="386"/>
      <c r="AK132" s="386"/>
      <c r="AL132" s="386"/>
      <c r="AM132" s="386"/>
      <c r="AN132" s="386"/>
      <c r="AO132" s="386"/>
      <c r="AP132" s="386"/>
      <c r="AQ132" s="386"/>
      <c r="AR132" s="386"/>
      <c r="AS132" s="386"/>
      <c r="AT132" s="386"/>
      <c r="AU132" s="386"/>
      <c r="AV132" s="386"/>
      <c r="AW132" s="386"/>
      <c r="AX132" s="386"/>
      <c r="AY132" s="386"/>
    </row>
    <row r="133" spans="2:51" ht="30" customHeight="1" x14ac:dyDescent="0.2">
      <c r="B133" s="590" t="s">
        <v>389</v>
      </c>
      <c r="C133" s="591"/>
      <c r="D133" s="528"/>
      <c r="E133" s="550"/>
      <c r="F133" s="533"/>
      <c r="G133" s="503">
        <v>41.8</v>
      </c>
      <c r="H133" s="503">
        <v>0.1</v>
      </c>
      <c r="I133" s="503">
        <v>-1.8</v>
      </c>
      <c r="J133" s="539">
        <v>1.7</v>
      </c>
      <c r="K133" s="539">
        <v>1.96</v>
      </c>
      <c r="L133" s="545">
        <v>42586</v>
      </c>
      <c r="M133" s="546" t="s">
        <v>403</v>
      </c>
      <c r="P133" s="319"/>
      <c r="Q133" s="319"/>
      <c r="R133" s="319"/>
      <c r="S133" s="319"/>
      <c r="U133" s="384"/>
      <c r="V133" s="319"/>
      <c r="AA133" s="386"/>
      <c r="AB133" s="386"/>
      <c r="AC133" s="386"/>
      <c r="AD133" s="386"/>
      <c r="AE133" s="386"/>
      <c r="AF133" s="386"/>
      <c r="AG133" s="386"/>
      <c r="AH133" s="386"/>
      <c r="AI133" s="386"/>
      <c r="AJ133" s="386"/>
      <c r="AK133" s="386"/>
      <c r="AL133" s="386"/>
      <c r="AM133" s="386"/>
      <c r="AN133" s="386"/>
      <c r="AO133" s="386"/>
      <c r="AP133" s="386"/>
      <c r="AQ133" s="386"/>
      <c r="AR133" s="386"/>
      <c r="AS133" s="386"/>
      <c r="AT133" s="386"/>
      <c r="AU133" s="386"/>
      <c r="AV133" s="386"/>
      <c r="AW133" s="386"/>
      <c r="AX133" s="386"/>
      <c r="AY133" s="386"/>
    </row>
    <row r="134" spans="2:51" ht="30" customHeight="1" x14ac:dyDescent="0.2">
      <c r="B134" s="590"/>
      <c r="C134" s="591"/>
      <c r="D134" s="528"/>
      <c r="E134" s="550"/>
      <c r="F134" s="533"/>
      <c r="G134" s="503">
        <v>50.6</v>
      </c>
      <c r="H134" s="503">
        <v>0.1</v>
      </c>
      <c r="I134" s="503">
        <v>-0.6</v>
      </c>
      <c r="J134" s="540">
        <v>1.7</v>
      </c>
      <c r="K134" s="540">
        <v>1.96</v>
      </c>
      <c r="L134" s="540">
        <v>42586</v>
      </c>
      <c r="M134" s="547" t="s">
        <v>336</v>
      </c>
      <c r="P134" s="319"/>
      <c r="Q134" s="319"/>
      <c r="R134" s="319"/>
      <c r="S134" s="319"/>
      <c r="U134" s="384"/>
      <c r="V134" s="319"/>
      <c r="AA134" s="386"/>
      <c r="AB134" s="386"/>
      <c r="AC134" s="386"/>
      <c r="AD134" s="386"/>
      <c r="AE134" s="386"/>
      <c r="AF134" s="386"/>
      <c r="AG134" s="386"/>
      <c r="AH134" s="386"/>
      <c r="AI134" s="386"/>
      <c r="AJ134" s="386"/>
      <c r="AK134" s="386"/>
      <c r="AL134" s="386"/>
      <c r="AM134" s="386"/>
      <c r="AN134" s="386"/>
      <c r="AO134" s="386"/>
      <c r="AP134" s="386"/>
      <c r="AQ134" s="386"/>
      <c r="AR134" s="386"/>
      <c r="AS134" s="386"/>
      <c r="AT134" s="386"/>
      <c r="AU134" s="386"/>
      <c r="AV134" s="386"/>
      <c r="AW134" s="386"/>
      <c r="AX134" s="386"/>
      <c r="AY134" s="386"/>
    </row>
    <row r="135" spans="2:51" ht="30" customHeight="1" x14ac:dyDescent="0.2">
      <c r="B135" s="590"/>
      <c r="C135" s="591"/>
      <c r="D135" s="528"/>
      <c r="E135" s="550"/>
      <c r="F135" s="533"/>
      <c r="G135" s="503">
        <v>59.4</v>
      </c>
      <c r="H135" s="503">
        <v>0.1</v>
      </c>
      <c r="I135" s="503">
        <v>0.6</v>
      </c>
      <c r="J135" s="540"/>
      <c r="K135" s="540"/>
      <c r="L135" s="540"/>
      <c r="M135" s="547"/>
      <c r="P135" s="319"/>
      <c r="Q135" s="319"/>
      <c r="R135" s="319"/>
      <c r="S135" s="319"/>
      <c r="U135" s="384"/>
      <c r="V135" s="319"/>
      <c r="AA135" s="386"/>
      <c r="AB135" s="386"/>
      <c r="AC135" s="386"/>
      <c r="AD135" s="386"/>
      <c r="AE135" s="386"/>
      <c r="AF135" s="386"/>
      <c r="AG135" s="386"/>
      <c r="AH135" s="386"/>
      <c r="AI135" s="386"/>
      <c r="AJ135" s="386"/>
      <c r="AK135" s="386"/>
      <c r="AL135" s="386"/>
      <c r="AM135" s="386"/>
      <c r="AN135" s="386"/>
      <c r="AO135" s="386"/>
      <c r="AP135" s="386"/>
      <c r="AQ135" s="386"/>
      <c r="AR135" s="386"/>
      <c r="AS135" s="386"/>
      <c r="AT135" s="386"/>
      <c r="AU135" s="386"/>
      <c r="AV135" s="386"/>
      <c r="AW135" s="386"/>
      <c r="AX135" s="386"/>
      <c r="AY135" s="386"/>
    </row>
    <row r="136" spans="2:51" ht="30" customHeight="1" x14ac:dyDescent="0.2">
      <c r="B136" s="590" t="s">
        <v>390</v>
      </c>
      <c r="C136" s="591"/>
      <c r="D136" s="528"/>
      <c r="E136" s="550"/>
      <c r="F136" s="533"/>
      <c r="G136" s="503">
        <v>397.9</v>
      </c>
      <c r="H136" s="503">
        <v>0.1</v>
      </c>
      <c r="I136" s="503">
        <v>-1.3</v>
      </c>
      <c r="J136" s="539">
        <v>6.4000000000000001E-2</v>
      </c>
      <c r="K136" s="542">
        <v>2</v>
      </c>
      <c r="L136" s="545">
        <v>42625</v>
      </c>
      <c r="M136" s="546" t="s">
        <v>401</v>
      </c>
      <c r="P136" s="319"/>
      <c r="Q136" s="319"/>
      <c r="R136" s="319"/>
      <c r="S136" s="319"/>
      <c r="U136" s="320"/>
      <c r="V136" s="319"/>
      <c r="AA136" s="386"/>
      <c r="AB136" s="386"/>
      <c r="AC136" s="386"/>
      <c r="AD136" s="386"/>
      <c r="AE136" s="386"/>
      <c r="AF136" s="386"/>
      <c r="AG136" s="386"/>
      <c r="AH136" s="386"/>
      <c r="AI136" s="386"/>
      <c r="AJ136" s="386"/>
      <c r="AK136" s="386"/>
      <c r="AL136" s="386"/>
      <c r="AM136" s="386"/>
      <c r="AN136" s="386"/>
      <c r="AO136" s="386"/>
      <c r="AP136" s="386"/>
      <c r="AQ136" s="386"/>
      <c r="AR136" s="386"/>
      <c r="AS136" s="386"/>
      <c r="AT136" s="386"/>
      <c r="AU136" s="386"/>
      <c r="AV136" s="386"/>
      <c r="AW136" s="386"/>
      <c r="AX136" s="386"/>
      <c r="AY136" s="386"/>
    </row>
    <row r="137" spans="2:51" ht="30" customHeight="1" x14ac:dyDescent="0.2">
      <c r="B137" s="590"/>
      <c r="C137" s="591"/>
      <c r="D137" s="528"/>
      <c r="E137" s="550"/>
      <c r="F137" s="533"/>
      <c r="G137" s="503">
        <v>753.2</v>
      </c>
      <c r="H137" s="503">
        <v>0.1</v>
      </c>
      <c r="I137" s="511">
        <v>-0.64100000000000001</v>
      </c>
      <c r="J137" s="540">
        <v>6.4000000000000001E-2</v>
      </c>
      <c r="K137" s="543">
        <v>2</v>
      </c>
      <c r="L137" s="540">
        <v>42625</v>
      </c>
      <c r="M137" s="547" t="s">
        <v>337</v>
      </c>
      <c r="P137" s="319"/>
      <c r="Q137" s="319"/>
      <c r="R137" s="319"/>
      <c r="S137" s="319"/>
      <c r="U137" s="320"/>
      <c r="V137" s="319"/>
      <c r="AA137" s="386"/>
      <c r="AB137" s="386"/>
      <c r="AC137" s="386"/>
      <c r="AD137" s="386"/>
      <c r="AE137" s="386"/>
      <c r="AF137" s="386"/>
      <c r="AG137" s="386"/>
      <c r="AH137" s="386"/>
      <c r="AI137" s="386"/>
      <c r="AJ137" s="386"/>
      <c r="AK137" s="386"/>
      <c r="AL137" s="386"/>
      <c r="AM137" s="386"/>
      <c r="AN137" s="386"/>
      <c r="AO137" s="386"/>
      <c r="AP137" s="386"/>
      <c r="AQ137" s="386"/>
      <c r="AR137" s="386"/>
      <c r="AS137" s="386"/>
      <c r="AT137" s="386"/>
      <c r="AU137" s="386"/>
      <c r="AV137" s="386"/>
      <c r="AW137" s="386"/>
      <c r="AX137" s="386"/>
      <c r="AY137" s="386"/>
    </row>
    <row r="138" spans="2:51" ht="30" customHeight="1" thickBot="1" x14ac:dyDescent="0.25">
      <c r="B138" s="592"/>
      <c r="C138" s="593"/>
      <c r="D138" s="529"/>
      <c r="E138" s="551"/>
      <c r="F138" s="534"/>
      <c r="G138" s="509">
        <v>1099.3</v>
      </c>
      <c r="H138" s="509">
        <v>0.1</v>
      </c>
      <c r="I138" s="509">
        <v>-0.06</v>
      </c>
      <c r="J138" s="541"/>
      <c r="K138" s="544"/>
      <c r="L138" s="541"/>
      <c r="M138" s="548"/>
      <c r="P138" s="319"/>
      <c r="Q138" s="319"/>
      <c r="R138" s="319"/>
      <c r="S138" s="319"/>
      <c r="U138" s="320"/>
      <c r="V138" s="319"/>
      <c r="AA138" s="386"/>
      <c r="AB138" s="386"/>
      <c r="AC138" s="386"/>
      <c r="AD138" s="386"/>
      <c r="AE138" s="386"/>
      <c r="AF138" s="386"/>
      <c r="AG138" s="386"/>
      <c r="AH138" s="386"/>
      <c r="AI138" s="386"/>
      <c r="AJ138" s="386"/>
      <c r="AK138" s="386"/>
      <c r="AL138" s="386"/>
      <c r="AM138" s="386"/>
      <c r="AN138" s="386"/>
      <c r="AO138" s="386"/>
      <c r="AP138" s="386"/>
      <c r="AQ138" s="386"/>
      <c r="AR138" s="386"/>
      <c r="AS138" s="386"/>
      <c r="AT138" s="386"/>
      <c r="AU138" s="386"/>
      <c r="AV138" s="386"/>
      <c r="AW138" s="386"/>
      <c r="AX138" s="386"/>
      <c r="AY138" s="386"/>
    </row>
    <row r="139" spans="2:51" ht="30" customHeight="1" thickBot="1" x14ac:dyDescent="0.25">
      <c r="B139" s="481"/>
      <c r="C139" s="320"/>
      <c r="D139" s="320"/>
      <c r="E139" s="320"/>
      <c r="F139" s="320"/>
      <c r="G139" s="320"/>
      <c r="H139" s="320"/>
      <c r="I139" s="320"/>
      <c r="J139" s="320"/>
      <c r="K139" s="320"/>
      <c r="L139" s="320"/>
      <c r="M139" s="320"/>
      <c r="P139" s="319"/>
      <c r="Q139" s="319"/>
      <c r="R139" s="319"/>
      <c r="S139" s="319"/>
      <c r="U139" s="320"/>
      <c r="V139" s="319"/>
      <c r="AA139" s="386"/>
      <c r="AB139" s="386"/>
      <c r="AC139" s="386"/>
      <c r="AD139" s="386"/>
      <c r="AE139" s="386"/>
      <c r="AF139" s="386"/>
      <c r="AG139" s="386"/>
      <c r="AH139" s="386"/>
      <c r="AI139" s="386"/>
      <c r="AJ139" s="386"/>
      <c r="AK139" s="386"/>
      <c r="AL139" s="386"/>
      <c r="AM139" s="386"/>
      <c r="AN139" s="386"/>
      <c r="AO139" s="386"/>
      <c r="AP139" s="386"/>
      <c r="AQ139" s="386"/>
      <c r="AR139" s="386"/>
      <c r="AS139" s="386"/>
      <c r="AT139" s="386"/>
      <c r="AU139" s="386"/>
      <c r="AV139" s="386"/>
      <c r="AW139" s="386"/>
      <c r="AX139" s="386"/>
      <c r="AY139" s="386"/>
    </row>
    <row r="140" spans="2:51" ht="30" customHeight="1" x14ac:dyDescent="0.2">
      <c r="B140" s="610" t="s">
        <v>388</v>
      </c>
      <c r="C140" s="611"/>
      <c r="D140" s="527" t="s">
        <v>404</v>
      </c>
      <c r="E140" s="549" t="s">
        <v>302</v>
      </c>
      <c r="F140" s="538" t="s">
        <v>330</v>
      </c>
      <c r="G140" s="501">
        <v>18.2</v>
      </c>
      <c r="H140" s="501">
        <v>0.1</v>
      </c>
      <c r="I140" s="501">
        <v>0</v>
      </c>
      <c r="J140" s="552">
        <v>0.2</v>
      </c>
      <c r="K140" s="554">
        <v>1.96</v>
      </c>
      <c r="L140" s="555">
        <v>42586</v>
      </c>
      <c r="M140" s="556" t="s">
        <v>407</v>
      </c>
      <c r="N140" s="482"/>
      <c r="P140" s="466"/>
      <c r="Q140" s="467" t="s">
        <v>391</v>
      </c>
      <c r="R140" s="468" t="s">
        <v>392</v>
      </c>
      <c r="S140" s="468" t="s">
        <v>393</v>
      </c>
      <c r="T140" s="608" t="s">
        <v>413</v>
      </c>
      <c r="U140" s="609" t="s">
        <v>414</v>
      </c>
      <c r="V140" s="319"/>
      <c r="AA140" s="386"/>
      <c r="AB140" s="386"/>
      <c r="AC140" s="386"/>
      <c r="AD140" s="386"/>
      <c r="AE140" s="386"/>
      <c r="AF140" s="386"/>
      <c r="AG140" s="386"/>
      <c r="AH140" s="386"/>
      <c r="AI140" s="386"/>
      <c r="AJ140" s="386"/>
      <c r="AK140" s="386"/>
      <c r="AL140" s="386"/>
      <c r="AM140" s="386"/>
      <c r="AN140" s="386"/>
      <c r="AO140" s="386"/>
      <c r="AP140" s="386"/>
      <c r="AQ140" s="386"/>
      <c r="AR140" s="386"/>
      <c r="AS140" s="386"/>
      <c r="AT140" s="386"/>
      <c r="AU140" s="386"/>
      <c r="AV140" s="386"/>
      <c r="AW140" s="386"/>
      <c r="AX140" s="386"/>
      <c r="AY140" s="386"/>
    </row>
    <row r="141" spans="2:51" ht="30" customHeight="1" x14ac:dyDescent="0.2">
      <c r="B141" s="612"/>
      <c r="C141" s="613"/>
      <c r="D141" s="528"/>
      <c r="E141" s="550"/>
      <c r="F141" s="533"/>
      <c r="G141" s="510">
        <v>20</v>
      </c>
      <c r="H141" s="503">
        <v>0.1</v>
      </c>
      <c r="I141" s="503">
        <v>0.1</v>
      </c>
      <c r="J141" s="553"/>
      <c r="K141" s="540"/>
      <c r="L141" s="540">
        <v>42586</v>
      </c>
      <c r="M141" s="547" t="s">
        <v>332</v>
      </c>
      <c r="N141" s="483"/>
      <c r="P141" s="530" t="s">
        <v>431</v>
      </c>
      <c r="Q141" s="480">
        <f>J140</f>
        <v>0.2</v>
      </c>
      <c r="R141" s="440">
        <f>J143</f>
        <v>1.7</v>
      </c>
      <c r="S141" s="440">
        <f>J146</f>
        <v>6.4000000000000001E-2</v>
      </c>
      <c r="T141" s="602"/>
      <c r="U141" s="605"/>
      <c r="V141" s="319"/>
      <c r="AA141" s="386"/>
      <c r="AB141" s="386"/>
      <c r="AC141" s="386"/>
      <c r="AD141" s="386"/>
      <c r="AE141" s="386"/>
      <c r="AF141" s="386"/>
      <c r="AG141" s="386"/>
      <c r="AH141" s="386"/>
      <c r="AI141" s="386"/>
      <c r="AJ141" s="386"/>
      <c r="AK141" s="386"/>
      <c r="AL141" s="386"/>
      <c r="AM141" s="386"/>
      <c r="AN141" s="386"/>
      <c r="AO141" s="386"/>
      <c r="AP141" s="386"/>
      <c r="AQ141" s="386"/>
      <c r="AR141" s="386"/>
      <c r="AS141" s="386"/>
      <c r="AT141" s="386"/>
      <c r="AU141" s="386"/>
      <c r="AV141" s="386"/>
      <c r="AW141" s="386"/>
      <c r="AX141" s="386"/>
      <c r="AY141" s="386"/>
    </row>
    <row r="142" spans="2:51" ht="30" customHeight="1" thickBot="1" x14ac:dyDescent="0.25">
      <c r="B142" s="612"/>
      <c r="C142" s="613"/>
      <c r="D142" s="528"/>
      <c r="E142" s="550"/>
      <c r="F142" s="533"/>
      <c r="G142" s="510">
        <v>22</v>
      </c>
      <c r="H142" s="503">
        <v>0.1</v>
      </c>
      <c r="I142" s="510">
        <v>0</v>
      </c>
      <c r="J142" s="553"/>
      <c r="K142" s="540"/>
      <c r="L142" s="540">
        <v>42625</v>
      </c>
      <c r="M142" s="547" t="s">
        <v>333</v>
      </c>
      <c r="N142" s="483"/>
      <c r="P142" s="531"/>
      <c r="Q142" s="441"/>
      <c r="R142" s="442"/>
      <c r="S142" s="442"/>
      <c r="T142" s="603"/>
      <c r="U142" s="606"/>
      <c r="V142" s="319"/>
      <c r="AA142" s="386"/>
      <c r="AB142" s="386"/>
      <c r="AC142" s="386"/>
      <c r="AD142" s="386"/>
      <c r="AE142" s="386"/>
      <c r="AF142" s="386"/>
      <c r="AG142" s="386"/>
      <c r="AH142" s="386"/>
      <c r="AI142" s="386"/>
      <c r="AJ142" s="386"/>
      <c r="AK142" s="386"/>
      <c r="AL142" s="386"/>
      <c r="AM142" s="386"/>
      <c r="AN142" s="386"/>
      <c r="AO142" s="386"/>
      <c r="AP142" s="386"/>
      <c r="AQ142" s="386"/>
      <c r="AR142" s="386"/>
      <c r="AS142" s="386"/>
      <c r="AT142" s="386"/>
      <c r="AU142" s="386"/>
      <c r="AV142" s="386"/>
      <c r="AW142" s="386"/>
      <c r="AX142" s="386"/>
      <c r="AY142" s="386"/>
    </row>
    <row r="143" spans="2:51" ht="30" customHeight="1" x14ac:dyDescent="0.2">
      <c r="B143" s="590" t="s">
        <v>389</v>
      </c>
      <c r="C143" s="591"/>
      <c r="D143" s="528"/>
      <c r="E143" s="550"/>
      <c r="F143" s="533"/>
      <c r="G143" s="503">
        <v>41.8</v>
      </c>
      <c r="H143" s="503">
        <v>0.1</v>
      </c>
      <c r="I143" s="503">
        <v>-1.8</v>
      </c>
      <c r="J143" s="539">
        <v>1.7</v>
      </c>
      <c r="K143" s="539">
        <v>1.96</v>
      </c>
      <c r="L143" s="545">
        <v>42586</v>
      </c>
      <c r="M143" s="546" t="s">
        <v>406</v>
      </c>
      <c r="N143" s="483"/>
      <c r="P143" s="319"/>
      <c r="Q143" s="319"/>
      <c r="R143" s="319"/>
      <c r="S143" s="319"/>
      <c r="U143" s="320"/>
      <c r="V143" s="319"/>
      <c r="AA143" s="386"/>
      <c r="AB143" s="386"/>
      <c r="AC143" s="386"/>
      <c r="AD143" s="386"/>
      <c r="AE143" s="386"/>
      <c r="AF143" s="386"/>
      <c r="AG143" s="386"/>
      <c r="AH143" s="386"/>
      <c r="AI143" s="386"/>
      <c r="AJ143" s="386"/>
      <c r="AK143" s="386"/>
      <c r="AL143" s="386"/>
      <c r="AM143" s="386"/>
      <c r="AN143" s="386"/>
      <c r="AO143" s="386"/>
      <c r="AP143" s="386"/>
      <c r="AQ143" s="386"/>
      <c r="AR143" s="386"/>
      <c r="AS143" s="386"/>
      <c r="AT143" s="386"/>
      <c r="AU143" s="386"/>
      <c r="AV143" s="386"/>
      <c r="AW143" s="386"/>
      <c r="AX143" s="386"/>
      <c r="AY143" s="386"/>
    </row>
    <row r="144" spans="2:51" ht="30" customHeight="1" x14ac:dyDescent="0.2">
      <c r="B144" s="590"/>
      <c r="C144" s="591"/>
      <c r="D144" s="528"/>
      <c r="E144" s="550"/>
      <c r="F144" s="533"/>
      <c r="G144" s="503">
        <v>50.5</v>
      </c>
      <c r="H144" s="503">
        <v>0.1</v>
      </c>
      <c r="I144" s="503">
        <v>-0.5</v>
      </c>
      <c r="J144" s="540"/>
      <c r="K144" s="540"/>
      <c r="L144" s="540">
        <v>42586</v>
      </c>
      <c r="M144" s="547" t="s">
        <v>332</v>
      </c>
      <c r="N144" s="483"/>
      <c r="P144" s="319"/>
      <c r="Q144" s="319"/>
      <c r="R144" s="319"/>
      <c r="S144" s="319"/>
      <c r="U144" s="320"/>
      <c r="V144" s="319"/>
      <c r="AA144" s="386"/>
      <c r="AB144" s="386"/>
      <c r="AC144" s="386"/>
      <c r="AD144" s="386"/>
      <c r="AE144" s="386"/>
      <c r="AF144" s="386"/>
      <c r="AG144" s="386"/>
      <c r="AH144" s="386"/>
      <c r="AI144" s="386"/>
      <c r="AJ144" s="386"/>
      <c r="AK144" s="386"/>
      <c r="AL144" s="386"/>
      <c r="AM144" s="386"/>
      <c r="AN144" s="386"/>
      <c r="AO144" s="386"/>
      <c r="AP144" s="386"/>
      <c r="AQ144" s="386"/>
      <c r="AR144" s="386"/>
      <c r="AS144" s="386"/>
      <c r="AT144" s="386"/>
      <c r="AU144" s="386"/>
      <c r="AV144" s="386"/>
      <c r="AW144" s="386"/>
      <c r="AX144" s="386"/>
      <c r="AY144" s="386"/>
    </row>
    <row r="145" spans="2:51" ht="30" customHeight="1" x14ac:dyDescent="0.2">
      <c r="B145" s="590"/>
      <c r="C145" s="591"/>
      <c r="D145" s="528"/>
      <c r="E145" s="550"/>
      <c r="F145" s="533"/>
      <c r="G145" s="503">
        <v>59.3</v>
      </c>
      <c r="H145" s="503">
        <v>0.1</v>
      </c>
      <c r="I145" s="503">
        <v>0.7</v>
      </c>
      <c r="J145" s="540"/>
      <c r="K145" s="540"/>
      <c r="L145" s="540">
        <v>42625</v>
      </c>
      <c r="M145" s="547" t="s">
        <v>333</v>
      </c>
      <c r="N145" s="483"/>
      <c r="P145" s="319"/>
      <c r="Q145" s="319"/>
      <c r="R145" s="319"/>
      <c r="S145" s="319"/>
      <c r="U145" s="320"/>
      <c r="V145" s="319"/>
      <c r="W145" s="319"/>
      <c r="X145" s="386"/>
      <c r="Y145" s="386"/>
      <c r="Z145" s="386"/>
      <c r="AA145" s="386"/>
      <c r="AB145" s="386"/>
      <c r="AC145" s="386"/>
      <c r="AD145" s="386"/>
      <c r="AE145" s="386"/>
      <c r="AF145" s="386"/>
      <c r="AG145" s="386"/>
      <c r="AH145" s="386"/>
      <c r="AI145" s="386"/>
      <c r="AJ145" s="386"/>
      <c r="AK145" s="386"/>
      <c r="AL145" s="386"/>
      <c r="AM145" s="386"/>
      <c r="AN145" s="386"/>
      <c r="AO145" s="386"/>
      <c r="AP145" s="386"/>
      <c r="AQ145" s="386"/>
      <c r="AR145" s="386"/>
      <c r="AS145" s="386"/>
      <c r="AT145" s="386"/>
      <c r="AU145" s="386"/>
      <c r="AV145" s="386"/>
      <c r="AW145" s="386"/>
      <c r="AX145" s="386"/>
      <c r="AY145" s="386"/>
    </row>
    <row r="146" spans="2:51" ht="30" customHeight="1" x14ac:dyDescent="0.2">
      <c r="B146" s="590" t="s">
        <v>390</v>
      </c>
      <c r="C146" s="591"/>
      <c r="D146" s="528"/>
      <c r="E146" s="550"/>
      <c r="F146" s="533"/>
      <c r="G146" s="510">
        <v>397.9</v>
      </c>
      <c r="H146" s="503">
        <v>0.1</v>
      </c>
      <c r="I146" s="503">
        <v>-1.34</v>
      </c>
      <c r="J146" s="539">
        <v>6.4000000000000001E-2</v>
      </c>
      <c r="K146" s="542">
        <v>1.96</v>
      </c>
      <c r="L146" s="545">
        <v>42625</v>
      </c>
      <c r="M146" s="546" t="s">
        <v>405</v>
      </c>
      <c r="N146" s="483"/>
      <c r="P146" s="320"/>
      <c r="U146" s="320"/>
      <c r="V146" s="319"/>
      <c r="W146" s="319"/>
      <c r="X146" s="386"/>
      <c r="Y146" s="386"/>
      <c r="Z146" s="386"/>
      <c r="AA146" s="386"/>
      <c r="AB146" s="386"/>
      <c r="AC146" s="386"/>
      <c r="AD146" s="386"/>
      <c r="AE146" s="386"/>
      <c r="AF146" s="386"/>
      <c r="AG146" s="386"/>
      <c r="AH146" s="386"/>
      <c r="AI146" s="386"/>
      <c r="AJ146" s="386"/>
      <c r="AK146" s="386"/>
      <c r="AL146" s="386"/>
      <c r="AM146" s="386"/>
      <c r="AN146" s="386"/>
      <c r="AO146" s="386"/>
      <c r="AP146" s="386"/>
      <c r="AQ146" s="386"/>
      <c r="AR146" s="386"/>
      <c r="AS146" s="386"/>
      <c r="AT146" s="386"/>
      <c r="AU146" s="386"/>
      <c r="AV146" s="386"/>
      <c r="AW146" s="386"/>
      <c r="AX146" s="386"/>
      <c r="AY146" s="386"/>
    </row>
    <row r="147" spans="2:51" ht="30" customHeight="1" x14ac:dyDescent="0.2">
      <c r="B147" s="590"/>
      <c r="C147" s="591"/>
      <c r="D147" s="528"/>
      <c r="E147" s="550"/>
      <c r="F147" s="533"/>
      <c r="G147" s="503">
        <v>753.2</v>
      </c>
      <c r="H147" s="503">
        <v>0.1</v>
      </c>
      <c r="I147" s="511">
        <v>-0.64100000000000001</v>
      </c>
      <c r="J147" s="540">
        <v>1.7</v>
      </c>
      <c r="K147" s="543">
        <v>1.96</v>
      </c>
      <c r="L147" s="540">
        <v>42586</v>
      </c>
      <c r="M147" s="547" t="s">
        <v>332</v>
      </c>
      <c r="N147" s="483"/>
      <c r="P147" s="320"/>
      <c r="U147" s="320"/>
      <c r="V147" s="319"/>
      <c r="W147" s="319"/>
    </row>
    <row r="148" spans="2:51" ht="30" customHeight="1" thickBot="1" x14ac:dyDescent="0.25">
      <c r="B148" s="592"/>
      <c r="C148" s="593"/>
      <c r="D148" s="529"/>
      <c r="E148" s="551"/>
      <c r="F148" s="534"/>
      <c r="G148" s="509">
        <v>1099.2</v>
      </c>
      <c r="H148" s="509">
        <v>0.1</v>
      </c>
      <c r="I148" s="509">
        <v>-0.54</v>
      </c>
      <c r="J148" s="541">
        <v>6.4000000000000001E-2</v>
      </c>
      <c r="K148" s="544">
        <v>2</v>
      </c>
      <c r="L148" s="541">
        <v>42625</v>
      </c>
      <c r="M148" s="548" t="s">
        <v>333</v>
      </c>
      <c r="N148" s="484"/>
      <c r="P148" s="320"/>
      <c r="U148" s="320"/>
      <c r="V148" s="319"/>
      <c r="W148" s="319"/>
    </row>
    <row r="149" spans="2:51" ht="30" customHeight="1" thickBot="1" x14ac:dyDescent="0.25">
      <c r="P149" s="319"/>
      <c r="Q149" s="319"/>
      <c r="R149" s="319"/>
      <c r="S149" s="319"/>
      <c r="T149" s="319"/>
      <c r="U149" s="319"/>
      <c r="V149" s="319"/>
      <c r="W149" s="319"/>
    </row>
    <row r="150" spans="2:51" ht="30" customHeight="1" thickBot="1" x14ac:dyDescent="0.25">
      <c r="J150" s="676" t="s">
        <v>312</v>
      </c>
      <c r="K150" s="677"/>
      <c r="L150" s="677"/>
      <c r="M150" s="678"/>
      <c r="P150" s="319"/>
      <c r="Q150" s="319"/>
      <c r="R150" s="319"/>
      <c r="S150" s="319"/>
      <c r="T150" s="319"/>
      <c r="U150" s="319"/>
      <c r="V150" s="319"/>
      <c r="W150" s="319"/>
    </row>
    <row r="151" spans="2:51" ht="30" customHeight="1" thickBot="1" x14ac:dyDescent="0.25">
      <c r="D151" s="727" t="s">
        <v>279</v>
      </c>
      <c r="E151" s="728"/>
      <c r="F151" s="728"/>
      <c r="G151" s="728"/>
      <c r="H151" s="729"/>
      <c r="J151" s="669" t="s">
        <v>236</v>
      </c>
      <c r="K151" s="670"/>
      <c r="L151" s="670"/>
      <c r="M151" s="671"/>
      <c r="S151" s="319"/>
      <c r="T151" s="319"/>
      <c r="U151" s="319"/>
      <c r="V151" s="319"/>
      <c r="W151" s="319"/>
    </row>
    <row r="152" spans="2:51" ht="30" customHeight="1" thickBot="1" x14ac:dyDescent="0.25">
      <c r="D152" s="730"/>
      <c r="E152" s="731"/>
      <c r="F152" s="731"/>
      <c r="G152" s="731"/>
      <c r="H152" s="732"/>
      <c r="J152" s="399">
        <v>5</v>
      </c>
      <c r="K152" s="400" t="s">
        <v>238</v>
      </c>
      <c r="L152" s="401" t="s">
        <v>313</v>
      </c>
      <c r="M152" s="369"/>
      <c r="S152" s="319"/>
      <c r="T152" s="319"/>
      <c r="U152" s="319"/>
      <c r="V152" s="319"/>
      <c r="W152" s="319"/>
    </row>
    <row r="153" spans="2:51" ht="30" customHeight="1" x14ac:dyDescent="0.2">
      <c r="D153" s="725" t="s">
        <v>183</v>
      </c>
      <c r="E153" s="715" t="s">
        <v>280</v>
      </c>
      <c r="F153" s="716"/>
      <c r="G153" s="716"/>
      <c r="H153" s="717"/>
      <c r="J153" s="402"/>
      <c r="K153" s="403"/>
      <c r="L153" s="404"/>
      <c r="M153" s="405"/>
      <c r="S153" s="319"/>
      <c r="T153" s="319"/>
      <c r="U153" s="319"/>
      <c r="V153" s="319"/>
      <c r="W153" s="319"/>
    </row>
    <row r="154" spans="2:51" ht="30" customHeight="1" thickBot="1" x14ac:dyDescent="0.25">
      <c r="D154" s="726"/>
      <c r="E154" s="718"/>
      <c r="F154" s="719"/>
      <c r="G154" s="719"/>
      <c r="H154" s="720"/>
      <c r="J154" s="399"/>
      <c r="K154" s="407"/>
      <c r="L154" s="407"/>
      <c r="M154" s="408"/>
      <c r="S154" s="319"/>
      <c r="T154" s="319"/>
      <c r="U154" s="319"/>
      <c r="V154" s="319"/>
      <c r="W154" s="319"/>
    </row>
    <row r="155" spans="2:51" ht="30" customHeight="1" x14ac:dyDescent="0.2">
      <c r="D155" s="414"/>
      <c r="E155" s="415"/>
      <c r="F155" s="415"/>
      <c r="G155" s="415"/>
      <c r="H155" s="416"/>
      <c r="J155" s="399"/>
      <c r="K155" s="404"/>
      <c r="L155" s="404"/>
      <c r="M155" s="408"/>
      <c r="S155" s="319"/>
      <c r="T155" s="319"/>
      <c r="U155" s="319"/>
      <c r="V155" s="319"/>
      <c r="W155" s="319"/>
    </row>
    <row r="156" spans="2:51" ht="30" customHeight="1" x14ac:dyDescent="0.2">
      <c r="D156" s="409" t="s">
        <v>281</v>
      </c>
      <c r="E156" s="417" t="s">
        <v>282</v>
      </c>
      <c r="F156" s="418"/>
      <c r="G156" s="418" t="s">
        <v>283</v>
      </c>
      <c r="H156" s="419"/>
      <c r="J156" s="399"/>
      <c r="K156" s="404"/>
      <c r="L156" s="404"/>
      <c r="M156" s="408"/>
      <c r="S156" s="319"/>
      <c r="T156" s="319"/>
      <c r="U156" s="319"/>
      <c r="V156" s="319"/>
      <c r="W156" s="319"/>
    </row>
    <row r="157" spans="2:51" ht="30" customHeight="1" x14ac:dyDescent="0.2">
      <c r="D157" s="409" t="s">
        <v>284</v>
      </c>
      <c r="E157" s="417" t="s">
        <v>285</v>
      </c>
      <c r="F157" s="418"/>
      <c r="G157" s="418" t="s">
        <v>286</v>
      </c>
      <c r="H157" s="419"/>
      <c r="J157" s="399"/>
      <c r="K157" s="404"/>
      <c r="L157" s="404"/>
      <c r="M157" s="408"/>
      <c r="V157" s="319"/>
      <c r="W157" s="319"/>
    </row>
    <row r="158" spans="2:51" ht="30" customHeight="1" x14ac:dyDescent="0.2">
      <c r="D158" s="409" t="s">
        <v>287</v>
      </c>
      <c r="E158" s="417" t="s">
        <v>288</v>
      </c>
      <c r="F158" s="418"/>
      <c r="G158" s="418" t="s">
        <v>289</v>
      </c>
      <c r="H158" s="419"/>
      <c r="J158" s="399"/>
      <c r="K158" s="404"/>
      <c r="L158" s="404"/>
      <c r="M158" s="408"/>
      <c r="V158" s="319"/>
      <c r="W158" s="319"/>
    </row>
    <row r="159" spans="2:51" ht="30" customHeight="1" thickBot="1" x14ac:dyDescent="0.25">
      <c r="D159" s="410" t="s">
        <v>290</v>
      </c>
      <c r="E159" s="420" t="s">
        <v>291</v>
      </c>
      <c r="F159" s="421"/>
      <c r="G159" s="422" t="s">
        <v>292</v>
      </c>
      <c r="H159" s="423"/>
      <c r="J159" s="498"/>
      <c r="K159" s="449"/>
      <c r="L159" s="411"/>
      <c r="M159" s="412"/>
      <c r="V159" s="319"/>
      <c r="W159" s="319"/>
    </row>
    <row r="160" spans="2:51" ht="30" customHeight="1" x14ac:dyDescent="0.2">
      <c r="V160" s="319"/>
      <c r="W160" s="319"/>
    </row>
    <row r="161" spans="16:23" ht="30" customHeight="1" x14ac:dyDescent="0.2">
      <c r="P161" s="319"/>
      <c r="Q161" s="319"/>
      <c r="R161" s="319"/>
      <c r="V161" s="319"/>
      <c r="W161" s="319"/>
    </row>
    <row r="162" spans="16:23" ht="30" customHeight="1" x14ac:dyDescent="0.2">
      <c r="P162" s="319"/>
      <c r="Q162" s="319"/>
      <c r="R162" s="319"/>
      <c r="V162" s="319"/>
      <c r="W162" s="319"/>
    </row>
    <row r="163" spans="16:23" ht="30" customHeight="1" x14ac:dyDescent="0.2">
      <c r="P163" s="319"/>
      <c r="Q163" s="319"/>
      <c r="R163" s="319"/>
      <c r="V163" s="319"/>
      <c r="W163" s="319"/>
    </row>
    <row r="164" spans="16:23" ht="30" customHeight="1" x14ac:dyDescent="0.2">
      <c r="P164" s="319"/>
      <c r="Q164" s="319"/>
      <c r="R164" s="319"/>
      <c r="V164" s="319"/>
      <c r="W164" s="319"/>
    </row>
    <row r="165" spans="16:23" x14ac:dyDescent="0.2">
      <c r="P165" s="319"/>
      <c r="Q165" s="319"/>
      <c r="R165" s="319"/>
      <c r="V165" s="319"/>
      <c r="W165" s="319"/>
    </row>
    <row r="166" spans="16:23" x14ac:dyDescent="0.2">
      <c r="P166" s="319"/>
      <c r="Q166" s="319"/>
      <c r="R166" s="319"/>
      <c r="V166" s="319"/>
      <c r="W166" s="319"/>
    </row>
    <row r="167" spans="16:23" x14ac:dyDescent="0.2">
      <c r="P167" s="319"/>
      <c r="Q167" s="319"/>
    </row>
    <row r="168" spans="16:23" x14ac:dyDescent="0.2">
      <c r="P168" s="319"/>
      <c r="Q168" s="319"/>
    </row>
    <row r="169" spans="16:23" x14ac:dyDescent="0.2">
      <c r="P169" s="319"/>
      <c r="Q169" s="319"/>
    </row>
    <row r="170" spans="16:23" x14ac:dyDescent="0.2">
      <c r="P170" s="319"/>
      <c r="Q170" s="319"/>
    </row>
    <row r="171" spans="16:23" x14ac:dyDescent="0.2">
      <c r="P171" s="319"/>
      <c r="Q171" s="319"/>
    </row>
    <row r="172" spans="16:23" x14ac:dyDescent="0.2">
      <c r="P172" s="319"/>
      <c r="Q172" s="319"/>
    </row>
    <row r="173" spans="16:23" x14ac:dyDescent="0.2">
      <c r="P173" s="319"/>
      <c r="Q173" s="319"/>
    </row>
    <row r="174" spans="16:23" x14ac:dyDescent="0.2">
      <c r="P174" s="319"/>
      <c r="Q174" s="319"/>
    </row>
    <row r="175" spans="16:23" x14ac:dyDescent="0.2">
      <c r="P175" s="319"/>
      <c r="Q175" s="319"/>
    </row>
    <row r="226" spans="65:68" ht="35.1" customHeight="1" x14ac:dyDescent="0.25">
      <c r="BM226" s="424"/>
      <c r="BN226" s="424"/>
      <c r="BO226" s="424"/>
      <c r="BP226" s="424"/>
    </row>
    <row r="227" spans="65:68" ht="35.1" customHeight="1" x14ac:dyDescent="0.25">
      <c r="BM227" s="424"/>
      <c r="BN227" s="424"/>
      <c r="BO227" s="424"/>
      <c r="BP227" s="424"/>
    </row>
    <row r="228" spans="65:68" ht="35.1" customHeight="1" x14ac:dyDescent="0.25">
      <c r="BM228" s="424"/>
      <c r="BN228" s="424"/>
      <c r="BO228" s="424"/>
      <c r="BP228" s="424"/>
    </row>
    <row r="229" spans="65:68" ht="35.1" customHeight="1" x14ac:dyDescent="0.25">
      <c r="BM229" s="424"/>
      <c r="BN229" s="424"/>
      <c r="BO229" s="424"/>
      <c r="BP229" s="424"/>
    </row>
  </sheetData>
  <mergeCells count="167">
    <mergeCell ref="D92:U93"/>
    <mergeCell ref="D94:U94"/>
    <mergeCell ref="K98:K100"/>
    <mergeCell ref="K101:K103"/>
    <mergeCell ref="K104:K106"/>
    <mergeCell ref="J98:J100"/>
    <mergeCell ref="E153:H154"/>
    <mergeCell ref="E95:E96"/>
    <mergeCell ref="F95:F96"/>
    <mergeCell ref="G95:G96"/>
    <mergeCell ref="H95:H96"/>
    <mergeCell ref="I95:I96"/>
    <mergeCell ref="J95:J96"/>
    <mergeCell ref="K95:K96"/>
    <mergeCell ref="D153:D154"/>
    <mergeCell ref="D151:H152"/>
    <mergeCell ref="L95:L96"/>
    <mergeCell ref="J115:J117"/>
    <mergeCell ref="K115:K117"/>
    <mergeCell ref="L115:L117"/>
    <mergeCell ref="M115:M117"/>
    <mergeCell ref="L98:L100"/>
    <mergeCell ref="L101:L103"/>
    <mergeCell ref="L104:L106"/>
    <mergeCell ref="D12:M13"/>
    <mergeCell ref="D14:D15"/>
    <mergeCell ref="E14:E15"/>
    <mergeCell ref="F14:F15"/>
    <mergeCell ref="G14:G15"/>
    <mergeCell ref="I14:I15"/>
    <mergeCell ref="J14:J15"/>
    <mergeCell ref="K14:K15"/>
    <mergeCell ref="L14:L15"/>
    <mergeCell ref="M14:M15"/>
    <mergeCell ref="H14:H15"/>
    <mergeCell ref="D3:L4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C28:C32"/>
    <mergeCell ref="S25:S26"/>
    <mergeCell ref="D23:S24"/>
    <mergeCell ref="C73:C88"/>
    <mergeCell ref="C55:C70"/>
    <mergeCell ref="C38:C54"/>
    <mergeCell ref="R25:R26"/>
    <mergeCell ref="P25:P26"/>
    <mergeCell ref="J151:M151"/>
    <mergeCell ref="M95:M96"/>
    <mergeCell ref="D25:D26"/>
    <mergeCell ref="E25:E26"/>
    <mergeCell ref="F25:F26"/>
    <mergeCell ref="G25:G26"/>
    <mergeCell ref="H25:H26"/>
    <mergeCell ref="J150:M150"/>
    <mergeCell ref="I25:I26"/>
    <mergeCell ref="J25:J26"/>
    <mergeCell ref="K25:K26"/>
    <mergeCell ref="N25:N26"/>
    <mergeCell ref="O25:O26"/>
    <mergeCell ref="L25:L26"/>
    <mergeCell ref="M25:M26"/>
    <mergeCell ref="Q25:Q26"/>
    <mergeCell ref="B104:C106"/>
    <mergeCell ref="B101:C103"/>
    <mergeCell ref="B109:C111"/>
    <mergeCell ref="B112:C114"/>
    <mergeCell ref="B115:C117"/>
    <mergeCell ref="B120:C122"/>
    <mergeCell ref="B123:C125"/>
    <mergeCell ref="B126:C128"/>
    <mergeCell ref="D98:D106"/>
    <mergeCell ref="D109:D117"/>
    <mergeCell ref="D120:D128"/>
    <mergeCell ref="B146:C148"/>
    <mergeCell ref="Q95:S96"/>
    <mergeCell ref="T95:T96"/>
    <mergeCell ref="U95:U96"/>
    <mergeCell ref="T98:T100"/>
    <mergeCell ref="U98:U100"/>
    <mergeCell ref="P95:P96"/>
    <mergeCell ref="T109:T111"/>
    <mergeCell ref="U109:U111"/>
    <mergeCell ref="T120:T122"/>
    <mergeCell ref="U120:U122"/>
    <mergeCell ref="T130:T132"/>
    <mergeCell ref="U130:U132"/>
    <mergeCell ref="T140:T142"/>
    <mergeCell ref="U140:U142"/>
    <mergeCell ref="B130:C132"/>
    <mergeCell ref="B133:C135"/>
    <mergeCell ref="B136:C138"/>
    <mergeCell ref="B140:C142"/>
    <mergeCell ref="B143:C145"/>
    <mergeCell ref="E98:E106"/>
    <mergeCell ref="E109:E117"/>
    <mergeCell ref="E120:E128"/>
    <mergeCell ref="B98:C100"/>
    <mergeCell ref="M98:M100"/>
    <mergeCell ref="M101:M103"/>
    <mergeCell ref="M104:M106"/>
    <mergeCell ref="M109:M111"/>
    <mergeCell ref="J112:J114"/>
    <mergeCell ref="K112:K114"/>
    <mergeCell ref="L112:L114"/>
    <mergeCell ref="M112:M114"/>
    <mergeCell ref="J101:J103"/>
    <mergeCell ref="J104:J106"/>
    <mergeCell ref="J109:J111"/>
    <mergeCell ref="K109:K111"/>
    <mergeCell ref="L109:L111"/>
    <mergeCell ref="L120:L122"/>
    <mergeCell ref="L123:L125"/>
    <mergeCell ref="L126:L128"/>
    <mergeCell ref="M120:M122"/>
    <mergeCell ref="M123:M125"/>
    <mergeCell ref="M126:M128"/>
    <mergeCell ref="J120:J122"/>
    <mergeCell ref="J123:J125"/>
    <mergeCell ref="J126:J128"/>
    <mergeCell ref="K120:K122"/>
    <mergeCell ref="K123:K125"/>
    <mergeCell ref="K126:K128"/>
    <mergeCell ref="M143:M145"/>
    <mergeCell ref="E130:E138"/>
    <mergeCell ref="J130:J132"/>
    <mergeCell ref="K130:K132"/>
    <mergeCell ref="L130:L132"/>
    <mergeCell ref="M130:M132"/>
    <mergeCell ref="J133:J135"/>
    <mergeCell ref="K133:K135"/>
    <mergeCell ref="L133:L135"/>
    <mergeCell ref="M133:M135"/>
    <mergeCell ref="J136:J138"/>
    <mergeCell ref="K136:K138"/>
    <mergeCell ref="L136:L138"/>
    <mergeCell ref="M136:M138"/>
    <mergeCell ref="D130:D138"/>
    <mergeCell ref="D140:D148"/>
    <mergeCell ref="P99:P100"/>
    <mergeCell ref="P110:P111"/>
    <mergeCell ref="P121:P122"/>
    <mergeCell ref="P131:P132"/>
    <mergeCell ref="P141:P142"/>
    <mergeCell ref="F98:F106"/>
    <mergeCell ref="F109:F117"/>
    <mergeCell ref="F120:F128"/>
    <mergeCell ref="F130:F138"/>
    <mergeCell ref="F140:F148"/>
    <mergeCell ref="J146:J148"/>
    <mergeCell ref="K146:K148"/>
    <mergeCell ref="L146:L148"/>
    <mergeCell ref="M146:M148"/>
    <mergeCell ref="E140:E148"/>
    <mergeCell ref="J140:J142"/>
    <mergeCell ref="K140:K142"/>
    <mergeCell ref="L140:L142"/>
    <mergeCell ref="M140:M142"/>
    <mergeCell ref="J143:J145"/>
    <mergeCell ref="K143:K145"/>
    <mergeCell ref="L143:L145"/>
  </mergeCells>
  <pageMargins left="0.7" right="0.7" top="0.75" bottom="0.75" header="0.3" footer="0.3"/>
  <pageSetup scale="10" orientation="landscape" horizontalDpi="4294967293" r:id="rId1"/>
  <rowBreaks count="3" manualBreakCount="3">
    <brk id="89" max="16383" man="1"/>
    <brk id="129" min="1" max="20" man="1"/>
    <brk id="138" min="1" max="2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7"/>
  <sheetViews>
    <sheetView showGridLines="0" tabSelected="1" view="pageBreakPreview" zoomScale="70" zoomScaleNormal="10" zoomScaleSheetLayoutView="70" workbookViewId="0">
      <selection activeCell="G9" sqref="G9:J9"/>
    </sheetView>
  </sheetViews>
  <sheetFormatPr baseColWidth="10" defaultColWidth="15.7109375" defaultRowHeight="35.1" customHeight="1" x14ac:dyDescent="0.2"/>
  <cols>
    <col min="1" max="1" width="16.7109375" style="94" customWidth="1"/>
    <col min="2" max="4" width="16.7109375" style="99" customWidth="1"/>
    <col min="5" max="5" width="20" style="99" customWidth="1"/>
    <col min="6" max="11" width="16.7109375" style="99" customWidth="1"/>
    <col min="12" max="12" width="16.7109375" style="94" customWidth="1"/>
    <col min="13" max="16384" width="15.7109375" style="94"/>
  </cols>
  <sheetData>
    <row r="1" spans="1:20" ht="35.1" customHeight="1" x14ac:dyDescent="0.2">
      <c r="A1" s="797"/>
      <c r="B1" s="798"/>
      <c r="C1" s="804" t="s">
        <v>443</v>
      </c>
      <c r="D1" s="805"/>
      <c r="E1" s="805"/>
      <c r="F1" s="805"/>
      <c r="G1" s="805"/>
      <c r="H1" s="805"/>
      <c r="I1" s="805"/>
      <c r="J1" s="805"/>
      <c r="K1" s="805"/>
      <c r="L1" s="806"/>
    </row>
    <row r="2" spans="1:20" ht="35.1" customHeight="1" x14ac:dyDescent="0.2">
      <c r="A2" s="799"/>
      <c r="B2" s="800"/>
      <c r="C2" s="807"/>
      <c r="D2" s="808"/>
      <c r="E2" s="808"/>
      <c r="F2" s="808"/>
      <c r="G2" s="808"/>
      <c r="H2" s="808"/>
      <c r="I2" s="808"/>
      <c r="J2" s="808"/>
      <c r="K2" s="808"/>
      <c r="L2" s="809"/>
    </row>
    <row r="3" spans="1:20" ht="35.1" customHeight="1" x14ac:dyDescent="0.2">
      <c r="A3" s="801"/>
      <c r="B3" s="802"/>
      <c r="C3" s="810"/>
      <c r="D3" s="811"/>
      <c r="E3" s="811"/>
      <c r="F3" s="811"/>
      <c r="G3" s="811"/>
      <c r="H3" s="811"/>
      <c r="I3" s="811"/>
      <c r="J3" s="811"/>
      <c r="K3" s="811"/>
      <c r="L3" s="812"/>
    </row>
    <row r="4" spans="1:20" s="98" customFormat="1" ht="15" customHeight="1" thickBot="1" x14ac:dyDescent="0.25">
      <c r="A4" s="95"/>
      <c r="B4" s="95"/>
      <c r="C4" s="95"/>
      <c r="D4" s="95"/>
      <c r="E4" s="95"/>
      <c r="F4" s="95"/>
      <c r="G4" s="95"/>
      <c r="H4" s="95"/>
      <c r="I4" s="95"/>
      <c r="J4" s="95"/>
      <c r="K4" s="96"/>
      <c r="L4" s="97"/>
    </row>
    <row r="5" spans="1:20" ht="44.25" customHeight="1" thickBot="1" x14ac:dyDescent="0.25">
      <c r="B5" s="252" t="s">
        <v>7</v>
      </c>
      <c r="C5" s="253" t="s">
        <v>184</v>
      </c>
      <c r="D5" s="253" t="s">
        <v>369</v>
      </c>
      <c r="E5" s="253" t="s">
        <v>347</v>
      </c>
      <c r="F5" s="253" t="s">
        <v>348</v>
      </c>
      <c r="G5" s="254" t="s">
        <v>8</v>
      </c>
      <c r="H5" s="254" t="s">
        <v>78</v>
      </c>
      <c r="I5" s="255" t="s">
        <v>350</v>
      </c>
      <c r="J5" s="795"/>
      <c r="L5" s="100"/>
    </row>
    <row r="6" spans="1:20" ht="35.1" customHeight="1" thickBot="1" x14ac:dyDescent="0.25">
      <c r="A6" s="101"/>
      <c r="B6" s="250" t="e">
        <f>VLOOKUP($J$5,DATOS!$D$7:$L$22,2,FALSE)</f>
        <v>#N/A</v>
      </c>
      <c r="C6" s="250" t="e">
        <f>VLOOKUP($J$5,DATOS!$D$7:$L$22,3,FALSE)</f>
        <v>#N/A</v>
      </c>
      <c r="D6" s="250" t="e">
        <f>VLOOKUP($J$5,DATOS!$D$7:$L$22,4,FALSE)</f>
        <v>#N/A</v>
      </c>
      <c r="E6" s="250" t="e">
        <f>VLOOKUP($J$5,DATOS!$D$7:$L$22,5,FALSE)</f>
        <v>#N/A</v>
      </c>
      <c r="F6" s="250" t="e">
        <f>VLOOKUP($J$5,DATOS!$D$7:$L$22,6,FALSE)</f>
        <v>#N/A</v>
      </c>
      <c r="G6" s="250" t="e">
        <f>VLOOKUP($J$5,DATOS!$D$7:$L$22,7,FALSE)</f>
        <v>#N/A</v>
      </c>
      <c r="H6" s="250" t="e">
        <f>VLOOKUP($J$5,DATOS!$D$7:$L$22,8,FALSE)</f>
        <v>#N/A</v>
      </c>
      <c r="I6" s="250" t="e">
        <f>VLOOKUP($J$5,DATOS!$D$7:$L$22,9,FALSE)</f>
        <v>#N/A</v>
      </c>
      <c r="J6" s="796"/>
      <c r="L6" s="100"/>
    </row>
    <row r="7" spans="1:20" ht="9.9499999999999993" customHeight="1" thickBot="1" x14ac:dyDescent="0.25">
      <c r="B7" s="102"/>
      <c r="C7" s="103"/>
      <c r="D7" s="104"/>
      <c r="E7" s="103"/>
      <c r="F7" s="102"/>
      <c r="G7" s="105"/>
      <c r="H7" s="106"/>
      <c r="I7" s="102"/>
      <c r="J7" s="103"/>
      <c r="K7" s="103"/>
      <c r="L7" s="100"/>
    </row>
    <row r="8" spans="1:20" ht="35.1" customHeight="1" thickBot="1" x14ac:dyDescent="0.25">
      <c r="B8" s="757" t="s">
        <v>351</v>
      </c>
      <c r="C8" s="758"/>
      <c r="D8" s="758"/>
      <c r="E8" s="759"/>
      <c r="F8" s="268"/>
      <c r="G8" s="107"/>
      <c r="H8" s="107"/>
      <c r="I8" s="107"/>
      <c r="J8" s="107"/>
      <c r="K8" s="107"/>
      <c r="L8" s="107"/>
    </row>
    <row r="9" spans="1:20" ht="35.1" customHeight="1" thickBot="1" x14ac:dyDescent="0.25">
      <c r="B9" s="824" t="s">
        <v>3</v>
      </c>
      <c r="C9" s="824"/>
      <c r="D9" s="267" t="e">
        <f>VLOOKUP($F$8,DATOS!$D$16:$M$22,2,FALSE)</f>
        <v>#N/A</v>
      </c>
      <c r="E9" s="281"/>
      <c r="F9" s="108"/>
      <c r="G9" s="784" t="s">
        <v>319</v>
      </c>
      <c r="H9" s="785"/>
      <c r="I9" s="785"/>
      <c r="J9" s="786"/>
      <c r="K9" s="107"/>
      <c r="L9" s="107"/>
    </row>
    <row r="10" spans="1:20" ht="35.1" customHeight="1" thickBot="1" x14ac:dyDescent="0.25">
      <c r="B10" s="782" t="s">
        <v>9</v>
      </c>
      <c r="C10" s="782"/>
      <c r="D10" s="267" t="e">
        <f>VLOOKUP($F$8,DATOS!$D$16:$M$22,3,FALSE)</f>
        <v>#N/A</v>
      </c>
      <c r="E10" s="281"/>
      <c r="F10" s="108"/>
      <c r="G10" s="826" t="s">
        <v>321</v>
      </c>
      <c r="H10" s="826"/>
      <c r="I10" s="825" t="e">
        <f>VLOOKUP($K$10,DATOS!$C$27:$R$88,1,FALSE)</f>
        <v>#N/A</v>
      </c>
      <c r="J10" s="825"/>
      <c r="K10" s="269"/>
      <c r="L10" s="107"/>
      <c r="M10" s="109"/>
      <c r="N10" s="109"/>
      <c r="O10" s="109"/>
      <c r="P10" s="109"/>
    </row>
    <row r="11" spans="1:20" ht="35.1" customHeight="1" x14ac:dyDescent="0.2">
      <c r="B11" s="782" t="s">
        <v>1</v>
      </c>
      <c r="C11" s="782"/>
      <c r="D11" s="267" t="e">
        <f>VLOOKUP($F$8,DATOS!$D$16:$M$22,4,FALSE)</f>
        <v>#N/A</v>
      </c>
      <c r="E11" s="281"/>
      <c r="F11" s="108"/>
      <c r="G11" s="782" t="s">
        <v>3</v>
      </c>
      <c r="H11" s="782"/>
      <c r="I11" s="831" t="e">
        <f>VLOOKUP($K$10,DATOS!$C$27:$S$88,4,FALSE)</f>
        <v>#N/A</v>
      </c>
      <c r="J11" s="832"/>
      <c r="K11" s="107"/>
      <c r="L11" s="107"/>
      <c r="P11" s="109"/>
    </row>
    <row r="12" spans="1:20" s="109" customFormat="1" ht="35.1" customHeight="1" x14ac:dyDescent="0.2">
      <c r="B12" s="782" t="s">
        <v>45</v>
      </c>
      <c r="C12" s="783"/>
      <c r="D12" s="267" t="e">
        <f>VLOOKUP($F$8,DATOS!$D$16:$M$22,5,FALSE)</f>
        <v>#N/A</v>
      </c>
      <c r="E12" s="281"/>
      <c r="F12" s="110"/>
      <c r="G12" s="782" t="s">
        <v>0</v>
      </c>
      <c r="H12" s="782"/>
      <c r="I12" s="831" t="e">
        <f>VLOOKUP($K$10,DATOS!$C$27:$S$88,3,FALSE)</f>
        <v>#N/A</v>
      </c>
      <c r="J12" s="832"/>
      <c r="K12" s="103"/>
      <c r="L12" s="111"/>
      <c r="Q12" s="94"/>
      <c r="R12" s="94"/>
      <c r="S12" s="94"/>
      <c r="T12" s="94"/>
    </row>
    <row r="13" spans="1:20" s="109" customFormat="1" ht="35.1" customHeight="1" x14ac:dyDescent="0.2">
      <c r="B13" s="783" t="s">
        <v>48</v>
      </c>
      <c r="C13" s="816"/>
      <c r="D13" s="267" t="e">
        <f>VLOOKUP($F$8,DATOS!$D$16:$M$22,6,FALSE)</f>
        <v>#N/A</v>
      </c>
      <c r="E13" s="281"/>
      <c r="F13" s="110"/>
      <c r="G13" s="782" t="s">
        <v>2</v>
      </c>
      <c r="H13" s="782"/>
      <c r="I13" s="831" t="e">
        <f>VLOOKUP($K$10,DATOS!$C$27:$S$88,7,FALSE)</f>
        <v>#N/A</v>
      </c>
      <c r="J13" s="832"/>
      <c r="K13" s="103"/>
      <c r="L13" s="111"/>
    </row>
    <row r="14" spans="1:20" s="109" customFormat="1" ht="35.1" customHeight="1" x14ac:dyDescent="0.2">
      <c r="B14" s="817" t="s">
        <v>370</v>
      </c>
      <c r="C14" s="818"/>
      <c r="D14" s="267" t="e">
        <f>VLOOKUP($F$8,DATOS!$D$16:$M$22,7,FALSE)</f>
        <v>#N/A</v>
      </c>
      <c r="E14" s="281"/>
      <c r="F14" s="110"/>
      <c r="G14" s="782" t="s">
        <v>300</v>
      </c>
      <c r="H14" s="782"/>
      <c r="I14" s="833" t="e">
        <f>VLOOKUP($K$10,DATOS!$C$27:$S$88,8,FALSE)</f>
        <v>#N/A</v>
      </c>
      <c r="J14" s="834"/>
      <c r="K14" s="103"/>
      <c r="L14" s="111"/>
    </row>
    <row r="15" spans="1:20" s="109" customFormat="1" ht="35.1" customHeight="1" x14ac:dyDescent="0.2">
      <c r="B15" s="817" t="s">
        <v>363</v>
      </c>
      <c r="C15" s="818"/>
      <c r="D15" s="267" t="e">
        <f>VLOOKUP($F$8,DATOS!$D$16:$M$22,8,FALSE)</f>
        <v>#N/A</v>
      </c>
      <c r="E15" s="281"/>
      <c r="F15" s="110"/>
      <c r="G15" s="782" t="s">
        <v>126</v>
      </c>
      <c r="H15" s="782"/>
      <c r="I15" s="831" t="e">
        <f>VLOOKUP($K$10,DATOS!$C$27:$S$88,17,FALSE)</f>
        <v>#N/A</v>
      </c>
      <c r="J15" s="832"/>
      <c r="K15" s="103"/>
      <c r="L15" s="103"/>
    </row>
    <row r="16" spans="1:20" s="109" customFormat="1" ht="9.9499999999999993" customHeight="1" thickBot="1" x14ac:dyDescent="0.3">
      <c r="B16" s="112"/>
      <c r="C16" s="112"/>
      <c r="D16" s="112"/>
      <c r="E16" s="112"/>
      <c r="F16" s="112"/>
      <c r="G16" s="113"/>
      <c r="H16" s="113"/>
      <c r="I16" s="114"/>
      <c r="J16" s="112"/>
      <c r="K16" s="103"/>
      <c r="L16" s="103"/>
    </row>
    <row r="17" spans="1:12" s="109" customFormat="1" ht="35.1" customHeight="1" thickBot="1" x14ac:dyDescent="0.3">
      <c r="B17" s="784" t="s">
        <v>10</v>
      </c>
      <c r="C17" s="785"/>
      <c r="D17" s="758"/>
      <c r="E17" s="758"/>
      <c r="F17" s="758"/>
      <c r="G17" s="758"/>
      <c r="H17" s="758"/>
      <c r="I17" s="758"/>
      <c r="J17" s="759"/>
      <c r="K17" s="103"/>
      <c r="L17" s="103"/>
    </row>
    <row r="18" spans="1:12" s="109" customFormat="1" ht="35.1" customHeight="1" thickBot="1" x14ac:dyDescent="0.3">
      <c r="B18" s="827" t="s">
        <v>107</v>
      </c>
      <c r="C18" s="827"/>
      <c r="D18" s="115"/>
      <c r="E18" s="116"/>
      <c r="F18" s="117"/>
      <c r="G18" s="792" t="s">
        <v>364</v>
      </c>
      <c r="H18" s="792"/>
      <c r="I18" s="792"/>
      <c r="J18" s="792"/>
      <c r="K18" s="103"/>
      <c r="L18" s="103"/>
    </row>
    <row r="19" spans="1:12" s="109" customFormat="1" ht="35.1" customHeight="1" thickBot="1" x14ac:dyDescent="0.3">
      <c r="B19" s="827"/>
      <c r="C19" s="827"/>
      <c r="D19" s="118"/>
      <c r="E19" s="270"/>
      <c r="F19" s="119"/>
      <c r="G19" s="815" t="s">
        <v>108</v>
      </c>
      <c r="H19" s="815" t="s">
        <v>163</v>
      </c>
      <c r="I19" s="815" t="s">
        <v>12</v>
      </c>
      <c r="J19" s="815" t="s">
        <v>365</v>
      </c>
      <c r="K19" s="103"/>
      <c r="L19" s="103"/>
    </row>
    <row r="20" spans="1:12" s="109" customFormat="1" ht="35.1" customHeight="1" thickBot="1" x14ac:dyDescent="0.3">
      <c r="B20" s="827"/>
      <c r="C20" s="827"/>
      <c r="D20" s="120"/>
      <c r="E20" s="121"/>
      <c r="F20" s="121"/>
      <c r="G20" s="815"/>
      <c r="H20" s="815"/>
      <c r="I20" s="815"/>
      <c r="J20" s="815"/>
      <c r="K20" s="103"/>
      <c r="L20" s="103"/>
    </row>
    <row r="21" spans="1:12" s="109" customFormat="1" ht="35.1" customHeight="1" thickBot="1" x14ac:dyDescent="0.3">
      <c r="B21" s="827" t="s">
        <v>11</v>
      </c>
      <c r="C21" s="827"/>
      <c r="D21" s="122"/>
      <c r="E21" s="122"/>
      <c r="F21" s="123"/>
      <c r="G21" s="251" t="e">
        <f>VLOOKUP($K$21,DATOS!$D$27:$S$88,8,FALSE)</f>
        <v>#N/A</v>
      </c>
      <c r="H21" s="251" t="e">
        <f>VLOOKUP($K$21,DATOS!$D$27:$S$88,12,FALSE)</f>
        <v>#N/A</v>
      </c>
      <c r="I21" s="251" t="e">
        <f>VLOOKUP($K$21,DATOS!$D$27:$S$88,13,FALSE)</f>
        <v>#N/A</v>
      </c>
      <c r="J21" s="251" t="e">
        <f>VLOOKUP($K$21,DATOS!$D$27:$S$88,5,FALSE)</f>
        <v>#N/A</v>
      </c>
      <c r="K21" s="272"/>
      <c r="L21" s="103"/>
    </row>
    <row r="22" spans="1:12" s="109" customFormat="1" ht="35.1" customHeight="1" thickBot="1" x14ac:dyDescent="0.3">
      <c r="B22" s="827"/>
      <c r="C22" s="828"/>
      <c r="D22" s="271"/>
      <c r="E22" s="271"/>
      <c r="F22" s="271"/>
      <c r="G22" s="251" t="e">
        <f>VLOOKUP($K$22,DATOS!$D$27:$S$88,8,FALSE)</f>
        <v>#N/A</v>
      </c>
      <c r="H22" s="251" t="e">
        <f>VLOOKUP($K$22,DATOS!$D$27:$S$88,12,FALSE)</f>
        <v>#N/A</v>
      </c>
      <c r="I22" s="251" t="e">
        <f>VLOOKUP($K$22,DATOS!$D$27:$S$88,13,FALSE)</f>
        <v>#N/A</v>
      </c>
      <c r="J22" s="251" t="e">
        <f>VLOOKUP($K$22,DATOS!$D$27:$S$88,5,FALSE)</f>
        <v>#N/A</v>
      </c>
      <c r="K22" s="272"/>
      <c r="L22" s="103"/>
    </row>
    <row r="23" spans="1:12" s="109" customFormat="1" ht="35.1" customHeight="1" thickBot="1" x14ac:dyDescent="0.3">
      <c r="A23" s="112"/>
      <c r="B23" s="827"/>
      <c r="C23" s="827"/>
      <c r="D23" s="124"/>
      <c r="E23" s="125"/>
      <c r="F23" s="124"/>
      <c r="G23" s="251" t="e">
        <f>VLOOKUP($K$23,DATOS!$D$27:$S$88,8,FALSE)</f>
        <v>#N/A</v>
      </c>
      <c r="H23" s="251" t="e">
        <f>VLOOKUP($K$23,DATOS!$D$27:$S$88,12,FALSE)</f>
        <v>#N/A</v>
      </c>
      <c r="I23" s="251" t="e">
        <f>VLOOKUP($K$23,DATOS!$D$27:$S$88,13,FALSE)</f>
        <v>#N/A</v>
      </c>
      <c r="J23" s="251" t="e">
        <f>VLOOKUP($K$23,DATOS!$D$27:$S$88,5,FALSE)</f>
        <v>#N/A</v>
      </c>
      <c r="K23" s="272"/>
      <c r="L23" s="103"/>
    </row>
    <row r="24" spans="1:12" s="109" customFormat="1" ht="35.1" customHeight="1" thickBot="1" x14ac:dyDescent="0.3">
      <c r="A24" s="112"/>
      <c r="C24" s="951" t="s">
        <v>444</v>
      </c>
      <c r="D24" s="952"/>
      <c r="E24" s="273"/>
      <c r="G24" s="251" t="e">
        <f>VLOOKUP($K$24,DATOS!$D$27:$S$88,8,FALSE)</f>
        <v>#N/A</v>
      </c>
      <c r="H24" s="251" t="e">
        <f>VLOOKUP($K$24,DATOS!$D$27:$S$88,12,FALSE)</f>
        <v>#N/A</v>
      </c>
      <c r="I24" s="251" t="e">
        <f>VLOOKUP($K$24,DATOS!$D$27:$S$88,13,FALSE)</f>
        <v>#N/A</v>
      </c>
      <c r="J24" s="251" t="e">
        <f>VLOOKUP($K$24,DATOS!$D$27:$S$88,5,FALSE)</f>
        <v>#N/A</v>
      </c>
      <c r="K24" s="272"/>
      <c r="L24" s="103"/>
    </row>
    <row r="25" spans="1:12" s="109" customFormat="1" ht="35.1" customHeight="1" x14ac:dyDescent="0.25">
      <c r="A25" s="126"/>
      <c r="B25" s="127" t="s">
        <v>318</v>
      </c>
      <c r="C25" s="127" t="s">
        <v>164</v>
      </c>
      <c r="D25" s="128" t="s">
        <v>59</v>
      </c>
      <c r="E25" s="129" t="s">
        <v>188</v>
      </c>
      <c r="G25" s="251" t="e">
        <f>G21+G23+B26</f>
        <v>#N/A</v>
      </c>
      <c r="H25" s="251" t="e">
        <f>H21+H23+C26</f>
        <v>#N/A</v>
      </c>
      <c r="I25" s="251" t="e">
        <f>I21+I23+D26</f>
        <v>#N/A</v>
      </c>
      <c r="J25" s="251"/>
      <c r="K25" s="103"/>
    </row>
    <row r="26" spans="1:12" s="109" customFormat="1" ht="35.1" customHeight="1" thickBot="1" x14ac:dyDescent="0.3">
      <c r="A26" s="112"/>
      <c r="B26" s="251" t="e">
        <f>VLOOKUP($E$24,DATOS!$D$27:$S$88,8,FALSE)</f>
        <v>#N/A</v>
      </c>
      <c r="C26" s="251" t="e">
        <f>VLOOKUP($E$24,DATOS!$D$27:$S$88,12,FALSE)</f>
        <v>#N/A</v>
      </c>
      <c r="D26" s="251" t="e">
        <f>VLOOKUP($E$24,DATOS!$D$27:$S$88,13,FALSE)</f>
        <v>#N/A</v>
      </c>
      <c r="E26" s="251" t="e">
        <f>VLOOKUP($E$24,DATOS!$D$27:$S$88,5,FALSE)</f>
        <v>#N/A</v>
      </c>
      <c r="F26" s="130" t="s">
        <v>124</v>
      </c>
      <c r="G26" s="131">
        <f>5-2</f>
        <v>3</v>
      </c>
      <c r="H26" s="103"/>
    </row>
    <row r="27" spans="1:12" s="109" customFormat="1" ht="24" customHeight="1" thickBot="1" x14ac:dyDescent="0.3">
      <c r="A27" s="112"/>
      <c r="B27" s="819" t="s">
        <v>384</v>
      </c>
      <c r="C27" s="820"/>
      <c r="D27" s="820"/>
      <c r="E27" s="820"/>
      <c r="F27" s="820"/>
      <c r="G27" s="820"/>
      <c r="H27" s="820"/>
      <c r="I27" s="820"/>
      <c r="J27" s="820"/>
      <c r="K27" s="821"/>
      <c r="L27" s="103"/>
    </row>
    <row r="28" spans="1:12" ht="47.25" customHeight="1" x14ac:dyDescent="0.25">
      <c r="A28" s="112"/>
      <c r="B28" s="431" t="s">
        <v>3</v>
      </c>
      <c r="C28" s="251" t="e">
        <f>VLOOKUP($K$28,DATOS!$D$97:$U$149,2,FALSE)</f>
        <v>#N/A</v>
      </c>
      <c r="D28" s="431" t="s">
        <v>84</v>
      </c>
      <c r="E28" s="187" t="e">
        <f>VLOOKUP($K$28,DATOS!$D$97:$U$149,3,FALSE)</f>
        <v>#N/A</v>
      </c>
      <c r="F28" s="432" t="s">
        <v>2</v>
      </c>
      <c r="G28" s="787" t="e">
        <f>VLOOKUP($K$28,DATOS!$D$97:$U$149,18,FALSE)</f>
        <v>#N/A</v>
      </c>
      <c r="H28" s="788"/>
      <c r="I28" s="431" t="s">
        <v>385</v>
      </c>
      <c r="J28" s="497" t="e">
        <f>VLOOKUP($K$28,DATOS!$D$97:$U$149,17,FALSE)</f>
        <v>#N/A</v>
      </c>
      <c r="K28" s="433"/>
    </row>
    <row r="29" spans="1:12" ht="39" customHeight="1" x14ac:dyDescent="0.25">
      <c r="A29" s="112"/>
      <c r="B29" s="829" t="s">
        <v>387</v>
      </c>
      <c r="C29" s="829"/>
      <c r="D29" s="434" t="s">
        <v>6</v>
      </c>
      <c r="E29" s="165" t="e">
        <f>VLOOKUP($K$29,DATOS!$P$97:$S$143,2,FALSE)</f>
        <v>#N/A</v>
      </c>
      <c r="F29" s="830" t="s">
        <v>4</v>
      </c>
      <c r="G29" s="830"/>
      <c r="H29" s="165" t="e">
        <f>VLOOKUP($K$29,DATOS!$P$97:$S$143,3,FALSE)</f>
        <v>#N/A</v>
      </c>
      <c r="I29" s="435" t="s">
        <v>5</v>
      </c>
      <c r="J29" s="154" t="e">
        <f>VLOOKUP($K$29,DATOS!$P$97:$S$143,4,FALSE)</f>
        <v>#N/A</v>
      </c>
      <c r="K29" s="436"/>
    </row>
    <row r="30" spans="1:12" ht="35.1" customHeight="1" thickBot="1" x14ac:dyDescent="0.3">
      <c r="A30" s="112"/>
      <c r="B30" s="94"/>
      <c r="C30" s="94"/>
      <c r="D30" s="94"/>
      <c r="E30" s="94"/>
      <c r="F30" s="94"/>
      <c r="G30" s="94"/>
      <c r="H30" s="94"/>
      <c r="I30" s="94"/>
      <c r="J30" s="94"/>
      <c r="K30" s="94"/>
    </row>
    <row r="31" spans="1:12" ht="35.1" customHeight="1" thickBot="1" x14ac:dyDescent="0.25">
      <c r="A31" s="133"/>
      <c r="B31" s="757" t="s">
        <v>60</v>
      </c>
      <c r="C31" s="758"/>
      <c r="D31" s="758"/>
      <c r="E31" s="758"/>
      <c r="F31" s="758"/>
      <c r="G31" s="758"/>
      <c r="H31" s="758"/>
      <c r="I31" s="759"/>
      <c r="J31" s="94"/>
      <c r="K31" s="132" t="s">
        <v>127</v>
      </c>
      <c r="L31" s="103"/>
    </row>
    <row r="32" spans="1:12" ht="35.25" customHeight="1" thickBot="1" x14ac:dyDescent="0.25">
      <c r="B32" s="134" t="s">
        <v>61</v>
      </c>
      <c r="C32" s="274"/>
      <c r="D32" s="135" t="s">
        <v>6</v>
      </c>
      <c r="E32" s="275"/>
      <c r="F32" s="136" t="s">
        <v>4</v>
      </c>
      <c r="G32" s="275"/>
      <c r="H32" s="134" t="s">
        <v>5</v>
      </c>
      <c r="I32" s="276"/>
      <c r="K32" s="137" t="s">
        <v>53</v>
      </c>
      <c r="L32" s="526">
        <v>2</v>
      </c>
    </row>
    <row r="33" spans="1:11" ht="35.1" customHeight="1" thickBot="1" x14ac:dyDescent="0.25">
      <c r="A33" s="99"/>
      <c r="B33" s="757" t="s">
        <v>13</v>
      </c>
      <c r="C33" s="758"/>
      <c r="D33" s="758"/>
      <c r="E33" s="758"/>
      <c r="F33" s="758"/>
      <c r="G33" s="759"/>
    </row>
    <row r="34" spans="1:11" ht="35.1" customHeight="1" x14ac:dyDescent="0.2">
      <c r="A34" s="99"/>
      <c r="C34" s="134" t="s">
        <v>55</v>
      </c>
      <c r="D34" s="134" t="s">
        <v>54</v>
      </c>
      <c r="E34" s="138">
        <f>E19</f>
        <v>0</v>
      </c>
      <c r="F34" s="134" t="s">
        <v>47</v>
      </c>
      <c r="G34" s="138">
        <f>E34*1000</f>
        <v>0</v>
      </c>
    </row>
    <row r="35" spans="1:11" ht="35.1" customHeight="1" x14ac:dyDescent="0.2">
      <c r="A35" s="99"/>
      <c r="B35" s="139" t="s">
        <v>14</v>
      </c>
      <c r="C35" s="140">
        <v>1</v>
      </c>
      <c r="D35" s="140">
        <v>2</v>
      </c>
      <c r="E35" s="140">
        <v>3</v>
      </c>
      <c r="F35" s="140">
        <v>4</v>
      </c>
      <c r="G35" s="140">
        <v>5</v>
      </c>
    </row>
    <row r="36" spans="1:11" ht="35.1" customHeight="1" x14ac:dyDescent="0.2">
      <c r="A36" s="99"/>
      <c r="B36" s="141" t="s">
        <v>366</v>
      </c>
      <c r="C36" s="277"/>
      <c r="D36" s="277"/>
      <c r="E36" s="277"/>
      <c r="F36" s="277"/>
      <c r="G36" s="277"/>
    </row>
    <row r="37" spans="1:11" ht="35.1" customHeight="1" x14ac:dyDescent="0.2">
      <c r="A37" s="99"/>
      <c r="B37" s="141" t="s">
        <v>15</v>
      </c>
      <c r="C37" s="142">
        <f>$C$36-C36</f>
        <v>0</v>
      </c>
      <c r="D37" s="142">
        <f t="shared" ref="D37:G37" si="0">$C$36-D36</f>
        <v>0</v>
      </c>
      <c r="E37" s="142">
        <f t="shared" si="0"/>
        <v>0</v>
      </c>
      <c r="F37" s="142">
        <f>$C$36-F36</f>
        <v>0</v>
      </c>
      <c r="G37" s="142">
        <f t="shared" si="0"/>
        <v>0</v>
      </c>
    </row>
    <row r="38" spans="1:11" ht="35.1" customHeight="1" x14ac:dyDescent="0.2">
      <c r="A38" s="99"/>
      <c r="B38" s="141" t="s">
        <v>46</v>
      </c>
      <c r="C38" s="142">
        <f>ABS(C37)</f>
        <v>0</v>
      </c>
      <c r="D38" s="142">
        <f t="shared" ref="D38:G38" si="1">ABS(D37)</f>
        <v>0</v>
      </c>
      <c r="E38" s="142">
        <f t="shared" si="1"/>
        <v>0</v>
      </c>
      <c r="F38" s="142">
        <f t="shared" si="1"/>
        <v>0</v>
      </c>
      <c r="G38" s="142">
        <f t="shared" si="1"/>
        <v>0</v>
      </c>
    </row>
    <row r="39" spans="1:11" ht="35.1" customHeight="1" x14ac:dyDescent="0.25">
      <c r="A39" s="99"/>
      <c r="B39" s="143" t="s">
        <v>47</v>
      </c>
      <c r="C39" s="144">
        <f>MAX(C38:G38)*1000</f>
        <v>0</v>
      </c>
      <c r="D39" s="145"/>
      <c r="E39" s="145"/>
      <c r="F39" s="145"/>
      <c r="G39" s="145"/>
    </row>
    <row r="40" spans="1:11" ht="9.9499999999999993" customHeight="1" thickBot="1" x14ac:dyDescent="0.25">
      <c r="A40" s="99"/>
    </row>
    <row r="41" spans="1:11" ht="35.1" customHeight="1" thickBot="1" x14ac:dyDescent="0.25">
      <c r="B41" s="757" t="s">
        <v>16</v>
      </c>
      <c r="C41" s="758"/>
      <c r="D41" s="758"/>
      <c r="E41" s="758"/>
      <c r="F41" s="758"/>
      <c r="G41" s="758"/>
      <c r="H41" s="758"/>
      <c r="I41" s="758"/>
      <c r="J41" s="759"/>
    </row>
    <row r="42" spans="1:11" s="146" customFormat="1" ht="35.1" customHeight="1" x14ac:dyDescent="0.2">
      <c r="B42" s="803" t="s">
        <v>19</v>
      </c>
      <c r="C42" s="803"/>
      <c r="D42" s="803"/>
      <c r="E42" s="803"/>
      <c r="F42" s="803"/>
      <c r="G42" s="803"/>
      <c r="H42" s="803"/>
      <c r="I42" s="803"/>
      <c r="J42" s="803"/>
      <c r="K42" s="127" t="s">
        <v>50</v>
      </c>
    </row>
    <row r="43" spans="1:11" ht="35.1" customHeight="1" x14ac:dyDescent="0.2">
      <c r="A43" s="127" t="s">
        <v>17</v>
      </c>
      <c r="B43" s="147">
        <v>1</v>
      </c>
      <c r="C43" s="147">
        <v>2</v>
      </c>
      <c r="D43" s="147">
        <v>3</v>
      </c>
      <c r="E43" s="147">
        <v>4</v>
      </c>
      <c r="F43" s="147">
        <v>5</v>
      </c>
      <c r="G43" s="147">
        <v>6</v>
      </c>
      <c r="H43" s="147">
        <v>7</v>
      </c>
      <c r="I43" s="147">
        <v>8</v>
      </c>
      <c r="J43" s="147">
        <v>9</v>
      </c>
      <c r="K43" s="148">
        <v>10</v>
      </c>
    </row>
    <row r="44" spans="1:11" ht="35.1" customHeight="1" x14ac:dyDescent="0.2">
      <c r="A44" s="149">
        <f>D22</f>
        <v>0</v>
      </c>
      <c r="B44" s="277"/>
      <c r="C44" s="277"/>
      <c r="D44" s="277"/>
      <c r="E44" s="277"/>
      <c r="F44" s="277"/>
      <c r="G44" s="277"/>
      <c r="H44" s="277"/>
      <c r="I44" s="277"/>
      <c r="J44" s="277"/>
      <c r="K44" s="277"/>
    </row>
    <row r="45" spans="1:11" ht="35.1" customHeight="1" x14ac:dyDescent="0.2">
      <c r="A45" s="149">
        <f>E22</f>
        <v>0</v>
      </c>
      <c r="B45" s="277"/>
      <c r="C45" s="277"/>
      <c r="D45" s="277"/>
      <c r="E45" s="277"/>
      <c r="F45" s="277"/>
      <c r="G45" s="277"/>
      <c r="H45" s="277"/>
      <c r="I45" s="277"/>
      <c r="J45" s="277"/>
      <c r="K45" s="277"/>
    </row>
    <row r="46" spans="1:11" ht="35.1" customHeight="1" x14ac:dyDescent="0.2">
      <c r="A46" s="149">
        <f>F22</f>
        <v>0</v>
      </c>
      <c r="B46" s="277"/>
      <c r="C46" s="277"/>
      <c r="D46" s="277"/>
      <c r="E46" s="277"/>
      <c r="F46" s="277"/>
      <c r="G46" s="277"/>
      <c r="H46" s="277"/>
      <c r="I46" s="277"/>
      <c r="J46" s="277"/>
      <c r="K46" s="277"/>
    </row>
    <row r="47" spans="1:11" ht="35.1" customHeight="1" x14ac:dyDescent="0.2">
      <c r="B47" s="127" t="s">
        <v>17</v>
      </c>
      <c r="C47" s="127" t="s">
        <v>18</v>
      </c>
      <c r="D47" s="150" t="s">
        <v>65</v>
      </c>
      <c r="E47" s="150" t="s">
        <v>64</v>
      </c>
      <c r="F47" s="150" t="s">
        <v>367</v>
      </c>
      <c r="H47" s="94"/>
      <c r="J47" s="94"/>
      <c r="K47" s="151"/>
    </row>
    <row r="48" spans="1:11" ht="35.1" customHeight="1" x14ac:dyDescent="0.2">
      <c r="B48" s="127">
        <f>A44</f>
        <v>0</v>
      </c>
      <c r="C48" s="152" t="e">
        <f>AVERAGE(B44:K44)</f>
        <v>#DIV/0!</v>
      </c>
      <c r="D48" s="153" t="e">
        <f>_xlfn.STDEV.S(B44:K44)</f>
        <v>#DIV/0!</v>
      </c>
      <c r="E48" s="153" t="e">
        <f>D48*1000</f>
        <v>#DIV/0!</v>
      </c>
      <c r="F48" s="154" t="e">
        <f>MAX(E48:E50)</f>
        <v>#DIV/0!</v>
      </c>
      <c r="H48" s="94"/>
      <c r="I48" s="278"/>
      <c r="J48" s="100"/>
      <c r="K48" s="94"/>
    </row>
    <row r="49" spans="1:12" ht="35.1" customHeight="1" x14ac:dyDescent="0.2">
      <c r="B49" s="127">
        <f>A45</f>
        <v>0</v>
      </c>
      <c r="C49" s="152" t="e">
        <f t="shared" ref="C49:C50" si="2">AVERAGE(B45:K45)</f>
        <v>#DIV/0!</v>
      </c>
      <c r="D49" s="153" t="e">
        <f t="shared" ref="D49:D50" si="3">_xlfn.STDEV.S(B45:K45)</f>
        <v>#DIV/0!</v>
      </c>
      <c r="E49" s="153" t="e">
        <f t="shared" ref="E49:E50" si="4">D49*1000</f>
        <v>#DIV/0!</v>
      </c>
      <c r="H49" s="94"/>
      <c r="I49" s="94"/>
      <c r="J49" s="100"/>
      <c r="K49" s="94"/>
    </row>
    <row r="50" spans="1:12" ht="35.1" customHeight="1" x14ac:dyDescent="0.2">
      <c r="A50" s="99"/>
      <c r="B50" s="127">
        <f>A46</f>
        <v>0</v>
      </c>
      <c r="C50" s="152" t="e">
        <f t="shared" si="2"/>
        <v>#DIV/0!</v>
      </c>
      <c r="D50" s="153" t="e">
        <f t="shared" si="3"/>
        <v>#DIV/0!</v>
      </c>
      <c r="E50" s="153" t="e">
        <f t="shared" si="4"/>
        <v>#DIV/0!</v>
      </c>
      <c r="H50" s="94"/>
      <c r="I50" s="100"/>
      <c r="J50" s="100"/>
      <c r="K50" s="100"/>
    </row>
    <row r="51" spans="1:12" ht="9.9499999999999993" customHeight="1" thickBot="1" x14ac:dyDescent="0.25">
      <c r="A51" s="99"/>
      <c r="B51" s="94"/>
      <c r="C51" s="94"/>
      <c r="D51" s="94"/>
      <c r="E51" s="94"/>
      <c r="F51" s="94"/>
      <c r="G51" s="94"/>
      <c r="H51" s="94"/>
      <c r="I51" s="100"/>
      <c r="J51" s="100"/>
      <c r="K51" s="100"/>
    </row>
    <row r="52" spans="1:12" ht="35.1" customHeight="1" thickBot="1" x14ac:dyDescent="0.25">
      <c r="A52" s="99"/>
      <c r="B52" s="757" t="s">
        <v>22</v>
      </c>
      <c r="C52" s="758"/>
      <c r="D52" s="758"/>
      <c r="E52" s="758"/>
      <c r="F52" s="758"/>
      <c r="G52" s="758"/>
      <c r="H52" s="758"/>
      <c r="I52" s="758"/>
      <c r="J52" s="758"/>
      <c r="K52" s="758"/>
      <c r="L52" s="759"/>
    </row>
    <row r="53" spans="1:12" ht="35.1" customHeight="1" thickBot="1" x14ac:dyDescent="0.25">
      <c r="B53" s="757" t="s">
        <v>117</v>
      </c>
      <c r="C53" s="758"/>
      <c r="D53" s="758"/>
      <c r="E53" s="759"/>
      <c r="F53" s="155"/>
      <c r="G53" s="757" t="s">
        <v>118</v>
      </c>
      <c r="H53" s="758"/>
      <c r="I53" s="758"/>
      <c r="J53" s="758"/>
      <c r="K53" s="758"/>
      <c r="L53" s="759"/>
    </row>
    <row r="54" spans="1:12" ht="35.1" customHeight="1" x14ac:dyDescent="0.2">
      <c r="A54" s="99"/>
      <c r="B54" s="129" t="s">
        <v>17</v>
      </c>
      <c r="C54" s="156" t="s">
        <v>179</v>
      </c>
      <c r="D54" s="157" t="s">
        <v>35</v>
      </c>
      <c r="E54" s="157" t="s">
        <v>35</v>
      </c>
      <c r="F54" s="155"/>
      <c r="G54" s="156" t="s">
        <v>179</v>
      </c>
      <c r="H54" s="156" t="s">
        <v>368</v>
      </c>
      <c r="I54" s="156"/>
      <c r="J54" s="156"/>
      <c r="K54" s="157" t="s">
        <v>35</v>
      </c>
      <c r="L54" s="157" t="s">
        <v>35</v>
      </c>
    </row>
    <row r="55" spans="1:12" ht="35.1" customHeight="1" x14ac:dyDescent="0.2">
      <c r="A55" s="99"/>
      <c r="B55" s="158" t="e">
        <f>H21</f>
        <v>#N/A</v>
      </c>
      <c r="C55" s="277"/>
      <c r="D55" s="159" t="e">
        <f>C55-B55</f>
        <v>#N/A</v>
      </c>
      <c r="E55" s="154" t="e">
        <f>D55*1000</f>
        <v>#N/A</v>
      </c>
      <c r="F55" s="155"/>
      <c r="G55" s="277"/>
      <c r="H55" s="277"/>
      <c r="I55" s="160" t="e">
        <f>AVERAGE(G55:H55)</f>
        <v>#DIV/0!</v>
      </c>
      <c r="J55" s="152" t="e">
        <f>I55*1000</f>
        <v>#DIV/0!</v>
      </c>
      <c r="K55" s="159" t="e">
        <f>I55-B55</f>
        <v>#DIV/0!</v>
      </c>
      <c r="L55" s="262" t="e">
        <f>K55*1000</f>
        <v>#DIV/0!</v>
      </c>
    </row>
    <row r="56" spans="1:12" ht="35.1" customHeight="1" x14ac:dyDescent="0.2">
      <c r="A56" s="99"/>
      <c r="B56" s="161" t="e">
        <f>H22</f>
        <v>#N/A</v>
      </c>
      <c r="C56" s="277"/>
      <c r="D56" s="159" t="e">
        <f t="shared" ref="D56:D59" si="5">C56-B56</f>
        <v>#N/A</v>
      </c>
      <c r="E56" s="154" t="e">
        <f t="shared" ref="E56:E59" si="6">D56*1000</f>
        <v>#N/A</v>
      </c>
      <c r="F56" s="155"/>
      <c r="G56" s="277"/>
      <c r="H56" s="277"/>
      <c r="I56" s="160" t="e">
        <f>AVERAGE(G56:H56)</f>
        <v>#DIV/0!</v>
      </c>
      <c r="J56" s="152" t="e">
        <f>I56*1000</f>
        <v>#DIV/0!</v>
      </c>
      <c r="K56" s="159" t="e">
        <f>I56-B56</f>
        <v>#DIV/0!</v>
      </c>
      <c r="L56" s="262" t="e">
        <f t="shared" ref="L56:L59" si="7">K56*1000</f>
        <v>#DIV/0!</v>
      </c>
    </row>
    <row r="57" spans="1:12" ht="35.1" customHeight="1" x14ac:dyDescent="0.2">
      <c r="A57" s="99"/>
      <c r="B57" s="161" t="e">
        <f>H23</f>
        <v>#N/A</v>
      </c>
      <c r="C57" s="277"/>
      <c r="D57" s="159" t="e">
        <f t="shared" si="5"/>
        <v>#N/A</v>
      </c>
      <c r="E57" s="154" t="e">
        <f t="shared" si="6"/>
        <v>#N/A</v>
      </c>
      <c r="F57" s="155"/>
      <c r="G57" s="277"/>
      <c r="H57" s="277"/>
      <c r="I57" s="160" t="e">
        <f>AVERAGE(G57:H57)</f>
        <v>#DIV/0!</v>
      </c>
      <c r="J57" s="152" t="e">
        <f t="shared" ref="J57:J59" si="8">I57*1000</f>
        <v>#DIV/0!</v>
      </c>
      <c r="K57" s="159" t="e">
        <f>I57-B57</f>
        <v>#DIV/0!</v>
      </c>
      <c r="L57" s="263" t="e">
        <f t="shared" si="7"/>
        <v>#DIV/0!</v>
      </c>
    </row>
    <row r="58" spans="1:12" ht="35.1" customHeight="1" x14ac:dyDescent="0.2">
      <c r="A58" s="99"/>
      <c r="B58" s="161" t="e">
        <f>H24</f>
        <v>#N/A</v>
      </c>
      <c r="C58" s="277"/>
      <c r="D58" s="159" t="e">
        <f t="shared" si="5"/>
        <v>#N/A</v>
      </c>
      <c r="E58" s="154" t="e">
        <f t="shared" si="6"/>
        <v>#N/A</v>
      </c>
      <c r="F58" s="155"/>
      <c r="G58" s="277"/>
      <c r="H58" s="277"/>
      <c r="I58" s="160" t="e">
        <f>AVERAGE(G58:H58)</f>
        <v>#DIV/0!</v>
      </c>
      <c r="J58" s="152" t="e">
        <f t="shared" si="8"/>
        <v>#DIV/0!</v>
      </c>
      <c r="K58" s="159" t="e">
        <f>I58-B58</f>
        <v>#DIV/0!</v>
      </c>
      <c r="L58" s="263" t="e">
        <f t="shared" si="7"/>
        <v>#DIV/0!</v>
      </c>
    </row>
    <row r="59" spans="1:12" ht="35.1" customHeight="1" x14ac:dyDescent="0.2">
      <c r="A59" s="99"/>
      <c r="B59" s="161" t="e">
        <f>H25</f>
        <v>#N/A</v>
      </c>
      <c r="C59" s="277"/>
      <c r="D59" s="159" t="e">
        <f t="shared" si="5"/>
        <v>#N/A</v>
      </c>
      <c r="E59" s="154" t="e">
        <f t="shared" si="6"/>
        <v>#N/A</v>
      </c>
      <c r="F59" s="163"/>
      <c r="G59" s="277"/>
      <c r="H59" s="277"/>
      <c r="I59" s="160" t="e">
        <f t="shared" ref="I59" si="9">AVERAGE(G59:H59)</f>
        <v>#DIV/0!</v>
      </c>
      <c r="J59" s="152" t="e">
        <f t="shared" si="8"/>
        <v>#DIV/0!</v>
      </c>
      <c r="K59" s="159" t="e">
        <f>I59-B59</f>
        <v>#DIV/0!</v>
      </c>
      <c r="L59" s="263" t="e">
        <f t="shared" si="7"/>
        <v>#DIV/0!</v>
      </c>
    </row>
    <row r="60" spans="1:12" ht="9.9499999999999993" customHeight="1" thickBot="1" x14ac:dyDescent="0.25">
      <c r="A60" s="99"/>
      <c r="L60" s="99"/>
    </row>
    <row r="61" spans="1:12" ht="35.1" customHeight="1" thickBot="1" x14ac:dyDescent="0.25">
      <c r="A61" s="164"/>
      <c r="B61" s="757" t="s">
        <v>62</v>
      </c>
      <c r="C61" s="758"/>
      <c r="D61" s="785"/>
      <c r="E61" s="758"/>
      <c r="F61" s="758"/>
      <c r="G61" s="758"/>
      <c r="H61" s="758"/>
      <c r="I61" s="759"/>
      <c r="K61" s="813" t="s">
        <v>397</v>
      </c>
      <c r="L61" s="814"/>
    </row>
    <row r="62" spans="1:12" ht="35.1" customHeight="1" thickBot="1" x14ac:dyDescent="0.25">
      <c r="A62" s="164"/>
      <c r="B62" s="523" t="s">
        <v>440</v>
      </c>
      <c r="C62" s="524"/>
      <c r="D62" s="790" t="s">
        <v>6</v>
      </c>
      <c r="E62" s="791"/>
      <c r="F62" s="790" t="s">
        <v>4</v>
      </c>
      <c r="G62" s="791"/>
      <c r="H62" s="790" t="s">
        <v>5</v>
      </c>
      <c r="I62" s="791"/>
      <c r="J62" s="520"/>
      <c r="K62" s="746"/>
      <c r="L62" s="747"/>
    </row>
    <row r="63" spans="1:12" ht="35.1" customHeight="1" thickBot="1" x14ac:dyDescent="0.25">
      <c r="A63" s="164"/>
      <c r="B63" s="748" t="s">
        <v>442</v>
      </c>
      <c r="C63" s="749"/>
      <c r="D63" s="515" t="s">
        <v>6</v>
      </c>
      <c r="E63" s="525">
        <f>(E32+E62)/2</f>
        <v>0</v>
      </c>
      <c r="F63" s="519" t="s">
        <v>4</v>
      </c>
      <c r="G63" s="525">
        <f>(G32+G62)/2</f>
        <v>0</v>
      </c>
      <c r="H63" s="519" t="s">
        <v>5</v>
      </c>
      <c r="I63" s="522">
        <f>(I32+I62)/2</f>
        <v>0</v>
      </c>
      <c r="J63" s="521"/>
      <c r="K63" s="793" t="e">
        <f>VLOOKUP($K$62,DATOS!$D$155:$H$159,2,FALSE)</f>
        <v>#N/A</v>
      </c>
      <c r="L63" s="794"/>
    </row>
    <row r="64" spans="1:12" ht="35.1" customHeight="1" thickBot="1" x14ac:dyDescent="0.25">
      <c r="A64" s="164"/>
      <c r="B64" s="953" t="s">
        <v>441</v>
      </c>
      <c r="C64" s="954"/>
      <c r="D64" s="955" t="s">
        <v>6</v>
      </c>
      <c r="E64" s="956">
        <f>E63+(0)</f>
        <v>0</v>
      </c>
      <c r="F64" s="957" t="s">
        <v>4</v>
      </c>
      <c r="G64" s="958">
        <f>G63+(0.1364*G63-7.5)</f>
        <v>-7.5</v>
      </c>
      <c r="H64" s="957" t="s">
        <v>5</v>
      </c>
      <c r="I64" s="959">
        <f>I63+(0.001*I63-1.9934)</f>
        <v>-1.9934000000000001</v>
      </c>
    </row>
    <row r="65" spans="1:15" ht="39" customHeight="1" thickBot="1" x14ac:dyDescent="0.25">
      <c r="A65" s="164"/>
      <c r="B65" s="164"/>
      <c r="C65" s="164"/>
      <c r="D65" s="164"/>
      <c r="E65" s="164"/>
      <c r="F65" s="164"/>
      <c r="G65" s="164"/>
      <c r="H65" s="164"/>
      <c r="I65" s="164"/>
    </row>
    <row r="66" spans="1:15" ht="35.1" customHeight="1" thickBot="1" x14ac:dyDescent="0.25">
      <c r="A66" s="757" t="s">
        <v>33</v>
      </c>
      <c r="B66" s="758"/>
      <c r="C66" s="758"/>
      <c r="D66" s="758"/>
      <c r="E66" s="758"/>
      <c r="F66" s="758"/>
      <c r="G66" s="758"/>
      <c r="H66" s="758"/>
      <c r="I66" s="758"/>
      <c r="J66" s="758"/>
      <c r="K66" s="758"/>
      <c r="L66" s="759"/>
    </row>
    <row r="67" spans="1:15" s="146" customFormat="1" ht="9.9499999999999993" customHeight="1" thickBot="1" x14ac:dyDescent="0.25"/>
    <row r="68" spans="1:15" ht="35.1" customHeight="1" thickBot="1" x14ac:dyDescent="0.25">
      <c r="B68" s="94"/>
      <c r="C68" s="94"/>
      <c r="D68" s="94"/>
      <c r="E68" s="94"/>
      <c r="F68" s="778" t="s">
        <v>27</v>
      </c>
      <c r="G68" s="779"/>
      <c r="H68" s="779"/>
      <c r="I68" s="779"/>
      <c r="J68" s="780"/>
      <c r="K68" s="94"/>
    </row>
    <row r="69" spans="1:15" s="100" customFormat="1" ht="35.1" customHeight="1" x14ac:dyDescent="0.2">
      <c r="D69" s="166"/>
      <c r="F69" s="167" t="e">
        <f>G21</f>
        <v>#N/A</v>
      </c>
      <c r="G69" s="167" t="e">
        <f>G22</f>
        <v>#N/A</v>
      </c>
      <c r="H69" s="167" t="e">
        <f>G23</f>
        <v>#N/A</v>
      </c>
      <c r="I69" s="167" t="e">
        <f>G24</f>
        <v>#N/A</v>
      </c>
      <c r="J69" s="167" t="e">
        <f>G25</f>
        <v>#N/A</v>
      </c>
      <c r="K69" s="94"/>
      <c r="L69" s="94"/>
      <c r="M69" s="94"/>
      <c r="N69" s="94"/>
      <c r="O69" s="94"/>
    </row>
    <row r="70" spans="1:15" s="146" customFormat="1" ht="9.9499999999999993" customHeight="1" thickBot="1" x14ac:dyDescent="0.25">
      <c r="L70" s="94"/>
      <c r="M70" s="94"/>
      <c r="N70" s="94"/>
      <c r="O70" s="94"/>
    </row>
    <row r="71" spans="1:15" ht="35.1" customHeight="1" thickBot="1" x14ac:dyDescent="0.25">
      <c r="B71" s="835" t="s">
        <v>32</v>
      </c>
      <c r="C71" s="813"/>
      <c r="D71" s="814"/>
      <c r="E71" s="146"/>
      <c r="F71" s="781" t="s">
        <v>49</v>
      </c>
      <c r="G71" s="781"/>
      <c r="H71" s="781"/>
      <c r="I71" s="781"/>
      <c r="J71" s="781"/>
      <c r="K71" s="168" t="s">
        <v>26</v>
      </c>
      <c r="L71" s="169" t="s">
        <v>119</v>
      </c>
    </row>
    <row r="72" spans="1:15" ht="35.1" customHeight="1" x14ac:dyDescent="0.2">
      <c r="A72" s="750" t="s">
        <v>20</v>
      </c>
      <c r="B72" s="850"/>
      <c r="C72" s="850"/>
      <c r="D72" s="850"/>
      <c r="E72" s="851"/>
      <c r="F72" s="170" t="e">
        <f>(J55*$C$39)/(2*$G$34*SQRT(3))</f>
        <v>#DIV/0!</v>
      </c>
      <c r="G72" s="170" t="e">
        <f>(J56*$C$39)/(2*$G$34*SQRT(3))</f>
        <v>#DIV/0!</v>
      </c>
      <c r="H72" s="170" t="e">
        <f>(J57*$C$39)/(2*$G$34*SQRT(3))</f>
        <v>#DIV/0!</v>
      </c>
      <c r="I72" s="170" t="e">
        <f>(J58*$C$39)/(2*$G$34*SQRT(3))</f>
        <v>#DIV/0!</v>
      </c>
      <c r="J72" s="170" t="e">
        <f>(J59*$C$39)/(2*$G$34*SQRT(3))</f>
        <v>#DIV/0!</v>
      </c>
      <c r="K72" s="171" t="s">
        <v>51</v>
      </c>
      <c r="L72" s="172">
        <v>100</v>
      </c>
    </row>
    <row r="73" spans="1:15" ht="35.1" customHeight="1" x14ac:dyDescent="0.2">
      <c r="A73" s="750" t="s">
        <v>21</v>
      </c>
      <c r="B73" s="751"/>
      <c r="C73" s="752"/>
      <c r="D73" s="752"/>
      <c r="E73" s="753"/>
      <c r="F73" s="170" t="e">
        <f>$F$48/SQRT($K$43)</f>
        <v>#DIV/0!</v>
      </c>
      <c r="G73" s="170" t="e">
        <f t="shared" ref="G73:J73" si="10">$F$48/SQRT($K$43)</f>
        <v>#DIV/0!</v>
      </c>
      <c r="H73" s="170" t="e">
        <f t="shared" si="10"/>
        <v>#DIV/0!</v>
      </c>
      <c r="I73" s="170" t="e">
        <f t="shared" si="10"/>
        <v>#DIV/0!</v>
      </c>
      <c r="J73" s="170" t="e">
        <f t="shared" si="10"/>
        <v>#DIV/0!</v>
      </c>
      <c r="K73" s="173" t="s">
        <v>52</v>
      </c>
      <c r="L73" s="174">
        <f>K43-1</f>
        <v>9</v>
      </c>
    </row>
    <row r="74" spans="1:15" ht="35.1" customHeight="1" x14ac:dyDescent="0.2">
      <c r="A74" s="750" t="s">
        <v>23</v>
      </c>
      <c r="B74" s="751"/>
      <c r="C74" s="844"/>
      <c r="D74" s="844"/>
      <c r="E74" s="844"/>
      <c r="F74" s="170" t="e">
        <f>($D$14*1000)/SQRT(6)</f>
        <v>#N/A</v>
      </c>
      <c r="G74" s="170" t="e">
        <f>($D$14*1000)/SQRT(6)</f>
        <v>#N/A</v>
      </c>
      <c r="H74" s="170" t="e">
        <f>($D$14*1000)/SQRT(6)</f>
        <v>#N/A</v>
      </c>
      <c r="I74" s="170" t="e">
        <f t="shared" ref="I74:J74" si="11">($D$14*1000)/SQRT(6)</f>
        <v>#N/A</v>
      </c>
      <c r="J74" s="170" t="e">
        <f t="shared" si="11"/>
        <v>#N/A</v>
      </c>
      <c r="K74" s="173" t="s">
        <v>51</v>
      </c>
      <c r="L74" s="174">
        <v>100</v>
      </c>
    </row>
    <row r="75" spans="1:15" ht="35.1" customHeight="1" thickBot="1" x14ac:dyDescent="0.25">
      <c r="A75" s="155"/>
      <c r="B75" s="155"/>
      <c r="C75" s="846"/>
      <c r="D75" s="847"/>
      <c r="E75" s="848"/>
      <c r="F75" s="175" t="e">
        <f>SQRT((F72)^2+(F73)^2+(F74)^2)</f>
        <v>#DIV/0!</v>
      </c>
      <c r="G75" s="175" t="e">
        <f t="shared" ref="G75:J75" si="12">SQRT((G72)^2+(G73)^2+(G74)^2)</f>
        <v>#DIV/0!</v>
      </c>
      <c r="H75" s="175" t="e">
        <f t="shared" si="12"/>
        <v>#DIV/0!</v>
      </c>
      <c r="I75" s="175" t="e">
        <f t="shared" si="12"/>
        <v>#DIV/0!</v>
      </c>
      <c r="J75" s="175" t="e">
        <f t="shared" si="12"/>
        <v>#DIV/0!</v>
      </c>
      <c r="K75" s="173" t="s">
        <v>52</v>
      </c>
      <c r="L75" s="100"/>
    </row>
    <row r="76" spans="1:15" ht="35.1" customHeight="1" thickBot="1" x14ac:dyDescent="0.25">
      <c r="A76" s="155"/>
      <c r="B76" s="155"/>
      <c r="C76" s="155"/>
      <c r="D76" s="155"/>
      <c r="F76" s="757" t="s">
        <v>116</v>
      </c>
      <c r="G76" s="758"/>
      <c r="H76" s="758"/>
      <c r="I76" s="758"/>
      <c r="J76" s="759"/>
      <c r="K76" s="94"/>
    </row>
    <row r="77" spans="1:15" ht="35.1" customHeight="1" x14ac:dyDescent="0.2">
      <c r="A77" s="750" t="s">
        <v>24</v>
      </c>
      <c r="B77" s="751"/>
      <c r="C77" s="776"/>
      <c r="D77" s="776"/>
      <c r="E77" s="777"/>
      <c r="F77" s="176" t="e">
        <f>I21/L32</f>
        <v>#N/A</v>
      </c>
      <c r="G77" s="176" t="e">
        <f>I22/L32</f>
        <v>#N/A</v>
      </c>
      <c r="H77" s="176" t="e">
        <f>I23/L32</f>
        <v>#N/A</v>
      </c>
      <c r="I77" s="176" t="e">
        <f>I24/L32</f>
        <v>#N/A</v>
      </c>
      <c r="J77" s="176" t="e">
        <f>I25/L32</f>
        <v>#N/A</v>
      </c>
      <c r="K77" s="152" t="s">
        <v>52</v>
      </c>
      <c r="L77" s="174">
        <v>100</v>
      </c>
    </row>
    <row r="78" spans="1:15" ht="35.1" customHeight="1" x14ac:dyDescent="0.2">
      <c r="A78" s="775" t="s">
        <v>25</v>
      </c>
      <c r="B78" s="775"/>
      <c r="C78" s="776"/>
      <c r="D78" s="776"/>
      <c r="E78" s="777"/>
      <c r="F78" s="177" t="e">
        <f>(3*I21)/(4*SQRT(3))</f>
        <v>#N/A</v>
      </c>
      <c r="G78" s="177" t="e">
        <f>(3*I22)/(4*SQRT(3))</f>
        <v>#N/A</v>
      </c>
      <c r="H78" s="177" t="e">
        <f>(3*I23)/(4*SQRT(3))</f>
        <v>#N/A</v>
      </c>
      <c r="I78" s="177" t="e">
        <f>(3*I24)/(4*SQRT(3))</f>
        <v>#N/A</v>
      </c>
      <c r="J78" s="177" t="e">
        <f>(3*I25)/(4*SQRT(3))</f>
        <v>#N/A</v>
      </c>
      <c r="K78" s="152" t="s">
        <v>51</v>
      </c>
      <c r="L78" s="172">
        <v>100</v>
      </c>
    </row>
    <row r="79" spans="1:15" ht="35.1" customHeight="1" x14ac:dyDescent="0.2">
      <c r="A79" s="750" t="s">
        <v>31</v>
      </c>
      <c r="B79" s="751"/>
      <c r="C79" s="776"/>
      <c r="D79" s="776"/>
      <c r="E79" s="777"/>
      <c r="F79" s="177" t="e">
        <f>I21/SQRT(3)</f>
        <v>#N/A</v>
      </c>
      <c r="G79" s="177" t="e">
        <f>I22/SQRT(3)</f>
        <v>#N/A</v>
      </c>
      <c r="H79" s="177" t="e">
        <f>I23/SQRT(3)</f>
        <v>#N/A</v>
      </c>
      <c r="I79" s="177" t="e">
        <f>I24/SQRT(3)</f>
        <v>#N/A</v>
      </c>
      <c r="J79" s="177" t="e">
        <f>I25/SQRT(3)</f>
        <v>#N/A</v>
      </c>
      <c r="K79" s="152" t="s">
        <v>51</v>
      </c>
      <c r="L79" s="174">
        <v>100</v>
      </c>
    </row>
    <row r="80" spans="1:15" ht="35.1" customHeight="1" thickBot="1" x14ac:dyDescent="0.25">
      <c r="C80" s="849"/>
      <c r="D80" s="849"/>
      <c r="E80" s="849"/>
      <c r="F80" s="178" t="e">
        <f>SQRT(F77^2+F78^2+F79^2)</f>
        <v>#N/A</v>
      </c>
      <c r="G80" s="178" t="e">
        <f t="shared" ref="G80:J80" si="13">SQRT(G77^2+G78^2+G79^2)</f>
        <v>#N/A</v>
      </c>
      <c r="H80" s="178" t="e">
        <f t="shared" si="13"/>
        <v>#N/A</v>
      </c>
      <c r="I80" s="178" t="e">
        <f t="shared" si="13"/>
        <v>#N/A</v>
      </c>
      <c r="J80" s="178" t="e">
        <f t="shared" si="13"/>
        <v>#N/A</v>
      </c>
      <c r="K80" s="152" t="s">
        <v>52</v>
      </c>
      <c r="L80" s="99"/>
    </row>
    <row r="81" spans="1:11" ht="35.1" customHeight="1" thickBot="1" x14ac:dyDescent="0.25">
      <c r="C81" s="94"/>
      <c r="D81" s="94"/>
      <c r="F81" s="757" t="s">
        <v>115</v>
      </c>
      <c r="G81" s="758"/>
      <c r="H81" s="758"/>
      <c r="I81" s="758"/>
      <c r="J81" s="759"/>
      <c r="K81" s="94"/>
    </row>
    <row r="82" spans="1:11" ht="35.1" customHeight="1" thickBot="1" x14ac:dyDescent="0.25">
      <c r="B82" s="94"/>
      <c r="C82" s="179"/>
      <c r="D82" s="180"/>
      <c r="E82" s="181"/>
      <c r="F82" s="182" t="e">
        <f>SQRT((F75)^2+(F80)^2)</f>
        <v>#DIV/0!</v>
      </c>
      <c r="G82" s="183" t="e">
        <f t="shared" ref="G82:J82" si="14">SQRT((G75)^2+(G80)^2)</f>
        <v>#DIV/0!</v>
      </c>
      <c r="H82" s="183" t="e">
        <f t="shared" si="14"/>
        <v>#DIV/0!</v>
      </c>
      <c r="I82" s="183" t="e">
        <f t="shared" si="14"/>
        <v>#DIV/0!</v>
      </c>
      <c r="J82" s="184" t="e">
        <f t="shared" si="14"/>
        <v>#DIV/0!</v>
      </c>
      <c r="K82" s="94"/>
    </row>
    <row r="83" spans="1:11" s="100" customFormat="1" ht="9.9499999999999993" customHeight="1" thickBot="1" x14ac:dyDescent="0.25">
      <c r="A83" s="185"/>
      <c r="B83" s="185"/>
      <c r="D83" s="164"/>
    </row>
    <row r="84" spans="1:11" s="146" customFormat="1" ht="35.1" customHeight="1" thickBot="1" x14ac:dyDescent="0.25">
      <c r="F84" s="754" t="s">
        <v>28</v>
      </c>
      <c r="G84" s="755"/>
      <c r="H84" s="755"/>
      <c r="I84" s="755"/>
      <c r="J84" s="756"/>
    </row>
    <row r="85" spans="1:11" ht="35.1" customHeight="1" x14ac:dyDescent="0.2">
      <c r="B85" s="94"/>
      <c r="C85" s="186"/>
      <c r="D85" s="186"/>
      <c r="F85" s="770" t="s">
        <v>57</v>
      </c>
      <c r="G85" s="770"/>
      <c r="H85" s="770"/>
      <c r="I85" s="770"/>
      <c r="J85" s="770"/>
    </row>
    <row r="86" spans="1:11" ht="35.1" customHeight="1" x14ac:dyDescent="0.2">
      <c r="A86" s="842" t="s">
        <v>109</v>
      </c>
      <c r="B86" s="843"/>
      <c r="C86" s="843"/>
      <c r="D86" s="822"/>
      <c r="E86" s="823"/>
      <c r="F86" s="187">
        <v>100</v>
      </c>
      <c r="G86" s="187">
        <v>100</v>
      </c>
      <c r="H86" s="187">
        <v>100</v>
      </c>
      <c r="I86" s="187">
        <v>100</v>
      </c>
      <c r="J86" s="187">
        <v>100</v>
      </c>
    </row>
    <row r="87" spans="1:11" ht="35.1" customHeight="1" x14ac:dyDescent="0.2">
      <c r="A87" s="842" t="s">
        <v>110</v>
      </c>
      <c r="B87" s="843"/>
      <c r="C87" s="843"/>
      <c r="D87" s="822"/>
      <c r="E87" s="823"/>
      <c r="F87" s="188">
        <f>$K$43-1</f>
        <v>9</v>
      </c>
      <c r="G87" s="187">
        <f t="shared" ref="G87:J87" si="15">$K$43-1</f>
        <v>9</v>
      </c>
      <c r="H87" s="187">
        <f t="shared" si="15"/>
        <v>9</v>
      </c>
      <c r="I87" s="187">
        <f t="shared" si="15"/>
        <v>9</v>
      </c>
      <c r="J87" s="187">
        <f t="shared" si="15"/>
        <v>9</v>
      </c>
    </row>
    <row r="88" spans="1:11" ht="35.1" customHeight="1" x14ac:dyDescent="0.2">
      <c r="A88" s="842" t="s">
        <v>111</v>
      </c>
      <c r="B88" s="843"/>
      <c r="C88" s="843"/>
      <c r="D88" s="822"/>
      <c r="E88" s="823"/>
      <c r="F88" s="188">
        <v>100</v>
      </c>
      <c r="G88" s="187">
        <v>100</v>
      </c>
      <c r="H88" s="187">
        <v>100</v>
      </c>
      <c r="I88" s="187">
        <v>100</v>
      </c>
      <c r="J88" s="187">
        <v>100</v>
      </c>
    </row>
    <row r="89" spans="1:11" ht="50.1" customHeight="1" thickBot="1" x14ac:dyDescent="0.25">
      <c r="B89" s="189"/>
      <c r="C89" s="190"/>
      <c r="D89" s="181"/>
      <c r="E89" s="191"/>
      <c r="F89" s="192" t="e">
        <f>F75^4/(F72^4/100+(F73^4/(K43-1))+(F74^4/100))</f>
        <v>#DIV/0!</v>
      </c>
      <c r="G89" s="193" t="e">
        <f>G75^4/(G72^4/100+(G73^4/(K43-1))+(G74^4/100))</f>
        <v>#DIV/0!</v>
      </c>
      <c r="H89" s="193" t="e">
        <f>H75^4/(H72^4/100+(H73^4/(K43-1))+(H74^4/100))</f>
        <v>#DIV/0!</v>
      </c>
      <c r="I89" s="193" t="e">
        <f>I75^4/(I72^4/100+(I73^4/(K43-1))+(I74^4/100))</f>
        <v>#DIV/0!</v>
      </c>
      <c r="J89" s="193" t="e">
        <f>J75^4/(J72^4/100+(J73^4/(K43-1))+(J74^4/100))</f>
        <v>#DIV/0!</v>
      </c>
    </row>
    <row r="90" spans="1:11" ht="35.1" customHeight="1" thickBot="1" x14ac:dyDescent="0.25">
      <c r="B90" s="94"/>
      <c r="C90" s="133"/>
      <c r="D90" s="133"/>
      <c r="E90" s="133"/>
      <c r="F90" s="839" t="s">
        <v>56</v>
      </c>
      <c r="G90" s="840"/>
      <c r="H90" s="840"/>
      <c r="I90" s="840"/>
      <c r="J90" s="841"/>
      <c r="K90" s="94"/>
    </row>
    <row r="91" spans="1:11" ht="35.1" customHeight="1" x14ac:dyDescent="0.2">
      <c r="A91" s="842" t="s">
        <v>112</v>
      </c>
      <c r="B91" s="843"/>
      <c r="C91" s="843"/>
      <c r="D91" s="844"/>
      <c r="E91" s="845"/>
      <c r="F91" s="194">
        <v>100</v>
      </c>
      <c r="G91" s="195">
        <v>100</v>
      </c>
      <c r="H91" s="195">
        <v>100</v>
      </c>
      <c r="I91" s="195">
        <v>100</v>
      </c>
      <c r="J91" s="195">
        <v>100</v>
      </c>
      <c r="K91" s="94"/>
    </row>
    <row r="92" spans="1:11" ht="35.1" customHeight="1" x14ac:dyDescent="0.2">
      <c r="A92" s="842" t="s">
        <v>113</v>
      </c>
      <c r="B92" s="843"/>
      <c r="C92" s="843"/>
      <c r="D92" s="844"/>
      <c r="E92" s="845"/>
      <c r="F92" s="188">
        <v>100</v>
      </c>
      <c r="G92" s="187">
        <v>100</v>
      </c>
      <c r="H92" s="187">
        <v>100</v>
      </c>
      <c r="I92" s="187">
        <v>100</v>
      </c>
      <c r="J92" s="187">
        <v>100</v>
      </c>
      <c r="K92" s="94"/>
    </row>
    <row r="93" spans="1:11" ht="35.1" customHeight="1" x14ac:dyDescent="0.2">
      <c r="A93" s="842" t="s">
        <v>114</v>
      </c>
      <c r="B93" s="843"/>
      <c r="C93" s="843"/>
      <c r="D93" s="844"/>
      <c r="E93" s="845"/>
      <c r="F93" s="188">
        <v>100</v>
      </c>
      <c r="G93" s="187">
        <v>100</v>
      </c>
      <c r="H93" s="187">
        <v>100</v>
      </c>
      <c r="I93" s="187">
        <v>100</v>
      </c>
      <c r="J93" s="187">
        <v>100</v>
      </c>
      <c r="K93" s="94"/>
    </row>
    <row r="94" spans="1:11" ht="50.1" customHeight="1" thickBot="1" x14ac:dyDescent="0.25">
      <c r="B94" s="858"/>
      <c r="C94" s="858"/>
      <c r="D94" s="858"/>
      <c r="E94" s="858"/>
      <c r="F94" s="193" t="e">
        <f>F80^4/((F77^4/100)+(F78^4/100)+(F79^4/100))</f>
        <v>#N/A</v>
      </c>
      <c r="G94" s="193" t="e">
        <f>G80^4/((G77^4/100)+(G78^4/100)+(G79^4/100))</f>
        <v>#N/A</v>
      </c>
      <c r="H94" s="193" t="e">
        <f>H80^4/((H77^4/100)+(H78^4/100)+(H79^4/100))</f>
        <v>#N/A</v>
      </c>
      <c r="I94" s="193" t="e">
        <f>I80^4/((I77^4/100)+(I78^4/100)+(I79^4/100))</f>
        <v>#N/A</v>
      </c>
      <c r="J94" s="193" t="e">
        <f>J80^4/((J77^4/100)+(J78^4/100)+(J79^4/100))</f>
        <v>#N/A</v>
      </c>
      <c r="K94" s="94"/>
    </row>
    <row r="95" spans="1:11" ht="35.1" customHeight="1" thickBot="1" x14ac:dyDescent="0.25">
      <c r="B95" s="94"/>
      <c r="C95" s="94"/>
      <c r="D95" s="94"/>
      <c r="E95" s="94"/>
      <c r="F95" s="761" t="s">
        <v>29</v>
      </c>
      <c r="G95" s="762"/>
      <c r="H95" s="762"/>
      <c r="I95" s="762"/>
      <c r="J95" s="763"/>
      <c r="K95" s="94"/>
    </row>
    <row r="96" spans="1:11" ht="50.1" customHeight="1" x14ac:dyDescent="0.2">
      <c r="B96" s="100"/>
      <c r="C96" s="857"/>
      <c r="D96" s="776"/>
      <c r="E96" s="777"/>
      <c r="F96" s="196" t="e">
        <f>F82^4/((F75^4/F89)+(F80^4/F94))</f>
        <v>#DIV/0!</v>
      </c>
      <c r="G96" s="197" t="e">
        <f>G82^4/((G75^4/G89)+(G80^4/G94))</f>
        <v>#DIV/0!</v>
      </c>
      <c r="H96" s="197" t="e">
        <f>H82^4/((H75^4/H89)+(H80^4/H94))</f>
        <v>#DIV/0!</v>
      </c>
      <c r="I96" s="197" t="e">
        <f>I82^4/((I75^4/I89)+(I80^4/I94))</f>
        <v>#DIV/0!</v>
      </c>
      <c r="J96" s="197" t="e">
        <f>J82^4/((J75^4/J89)+(J80^4/J94))</f>
        <v>#DIV/0!</v>
      </c>
      <c r="K96" s="94"/>
    </row>
    <row r="97" spans="1:13" s="100" customFormat="1" ht="9.9499999999999993" customHeight="1" thickBot="1" x14ac:dyDescent="0.25">
      <c r="B97" s="185"/>
      <c r="C97" s="185"/>
      <c r="E97" s="164"/>
    </row>
    <row r="98" spans="1:13" ht="35.1" customHeight="1" thickBot="1" x14ac:dyDescent="0.25">
      <c r="B98" s="94"/>
      <c r="C98" s="94"/>
      <c r="D98" s="94"/>
      <c r="E98" s="94"/>
      <c r="F98" s="761" t="s">
        <v>30</v>
      </c>
      <c r="G98" s="762"/>
      <c r="H98" s="762"/>
      <c r="I98" s="762"/>
      <c r="J98" s="763"/>
      <c r="K98" s="94"/>
    </row>
    <row r="99" spans="1:13" ht="35.1" customHeight="1" x14ac:dyDescent="0.2">
      <c r="B99" s="189"/>
      <c r="C99" s="198"/>
      <c r="D99" s="190"/>
      <c r="E99" s="199"/>
      <c r="F99" s="200" t="e">
        <f>_xlfn.T.INV.2T(100%-$I$101,F96)</f>
        <v>#DIV/0!</v>
      </c>
      <c r="G99" s="200" t="e">
        <f>_xlfn.T.INV.2T(100%-$I$101,G96)</f>
        <v>#DIV/0!</v>
      </c>
      <c r="H99" s="200" t="e">
        <f>_xlfn.T.INV.2T(100%-$I$101,H96)</f>
        <v>#DIV/0!</v>
      </c>
      <c r="I99" s="200" t="e">
        <f>_xlfn.T.INV.2T(100%-$I$101,I96)</f>
        <v>#DIV/0!</v>
      </c>
      <c r="J99" s="200" t="e">
        <f>_xlfn.T.INV.2T(100%-$I$101,J96)</f>
        <v>#DIV/0!</v>
      </c>
      <c r="K99" s="94"/>
    </row>
    <row r="100" spans="1:13" ht="9.9499999999999993" customHeight="1" thickBot="1" x14ac:dyDescent="0.25">
      <c r="K100" s="94"/>
    </row>
    <row r="101" spans="1:13" ht="35.1" customHeight="1" thickBot="1" x14ac:dyDescent="0.25">
      <c r="F101" s="836" t="s">
        <v>58</v>
      </c>
      <c r="G101" s="837"/>
      <c r="H101" s="838"/>
      <c r="I101" s="201">
        <v>0.95450000000000002</v>
      </c>
      <c r="L101" s="99"/>
    </row>
    <row r="102" spans="1:13" s="146" customFormat="1" ht="9.9499999999999993" customHeight="1" x14ac:dyDescent="0.2">
      <c r="F102" s="202"/>
      <c r="G102" s="202"/>
      <c r="H102" s="202"/>
      <c r="I102" s="203"/>
      <c r="J102" s="203"/>
    </row>
    <row r="103" spans="1:13" s="146" customFormat="1" ht="35.1" customHeight="1" x14ac:dyDescent="0.2">
      <c r="B103" s="774" t="s">
        <v>63</v>
      </c>
      <c r="C103" s="774"/>
      <c r="D103" s="774"/>
      <c r="E103" s="204"/>
      <c r="F103" s="205" t="e">
        <f>F82*F99</f>
        <v>#DIV/0!</v>
      </c>
      <c r="G103" s="205" t="e">
        <f>G82*G99</f>
        <v>#DIV/0!</v>
      </c>
      <c r="H103" s="205" t="e">
        <f>H82*H99</f>
        <v>#DIV/0!</v>
      </c>
      <c r="I103" s="205" t="e">
        <f>I82*I99</f>
        <v>#DIV/0!</v>
      </c>
      <c r="J103" s="261" t="e">
        <f>J82*J99</f>
        <v>#DIV/0!</v>
      </c>
    </row>
    <row r="104" spans="1:13" s="146" customFormat="1" ht="35.1" customHeight="1" x14ac:dyDescent="0.2">
      <c r="B104" s="961" t="s">
        <v>63</v>
      </c>
      <c r="C104" s="961"/>
      <c r="D104" s="961"/>
      <c r="E104" s="962"/>
      <c r="F104" s="960" t="e">
        <f>F103/1000</f>
        <v>#DIV/0!</v>
      </c>
      <c r="G104" s="960" t="e">
        <f t="shared" ref="G104:J104" si="16">G103/1000</f>
        <v>#DIV/0!</v>
      </c>
      <c r="H104" s="960" t="e">
        <f t="shared" si="16"/>
        <v>#DIV/0!</v>
      </c>
      <c r="I104" s="960" t="e">
        <f t="shared" si="16"/>
        <v>#DIV/0!</v>
      </c>
      <c r="J104" s="960" t="e">
        <f t="shared" si="16"/>
        <v>#DIV/0!</v>
      </c>
    </row>
    <row r="105" spans="1:13" s="146" customFormat="1" ht="9.9499999999999993" customHeight="1" thickBot="1" x14ac:dyDescent="0.25">
      <c r="E105" s="202"/>
      <c r="F105" s="202"/>
      <c r="G105" s="202"/>
      <c r="H105" s="203"/>
      <c r="I105" s="203"/>
      <c r="J105" s="206"/>
      <c r="K105" s="206"/>
      <c r="L105" s="206"/>
      <c r="M105" s="206"/>
    </row>
    <row r="106" spans="1:13" s="146" customFormat="1" ht="35.1" customHeight="1" thickBot="1" x14ac:dyDescent="0.25">
      <c r="A106" s="761" t="s">
        <v>34</v>
      </c>
      <c r="B106" s="762"/>
      <c r="C106" s="762"/>
      <c r="D106" s="762"/>
      <c r="E106" s="762"/>
      <c r="F106" s="762"/>
      <c r="G106" s="763"/>
      <c r="I106" s="771" t="s">
        <v>125</v>
      </c>
      <c r="J106" s="772"/>
      <c r="K106" s="773"/>
    </row>
    <row r="107" spans="1:13" s="146" customFormat="1" ht="35.1" customHeight="1" x14ac:dyDescent="0.2">
      <c r="A107" s="207" t="s">
        <v>36</v>
      </c>
      <c r="B107" s="207" t="s">
        <v>37</v>
      </c>
      <c r="C107" s="207" t="s">
        <v>165</v>
      </c>
      <c r="D107" s="207" t="s">
        <v>166</v>
      </c>
      <c r="E107" s="208" t="s">
        <v>40</v>
      </c>
      <c r="F107" s="209"/>
      <c r="G107" s="760" t="s">
        <v>167</v>
      </c>
      <c r="I107" s="764"/>
      <c r="J107" s="765"/>
      <c r="K107" s="766"/>
    </row>
    <row r="108" spans="1:13" s="146" customFormat="1" ht="35.1" customHeight="1" x14ac:dyDescent="0.2">
      <c r="A108" s="210"/>
      <c r="B108" s="210"/>
      <c r="C108" s="210"/>
      <c r="D108" s="210"/>
      <c r="E108" s="211"/>
      <c r="F108" s="212"/>
      <c r="G108" s="760"/>
      <c r="I108" s="767"/>
      <c r="J108" s="768"/>
      <c r="K108" s="769"/>
    </row>
    <row r="109" spans="1:13" s="146" customFormat="1" ht="35.1" customHeight="1" x14ac:dyDescent="0.2">
      <c r="A109" s="213" t="e">
        <f>(1/F82)^2</f>
        <v>#DIV/0!</v>
      </c>
      <c r="B109" s="213" t="e">
        <f>A109*J55*L55</f>
        <v>#DIV/0!</v>
      </c>
      <c r="C109" s="213" t="e">
        <f>(J55)^2*A109</f>
        <v>#DIV/0!</v>
      </c>
      <c r="D109" s="213" t="e">
        <f>((($B$117*$E$118)+($B$118*(J55^2))))</f>
        <v>#DIV/0!</v>
      </c>
      <c r="E109" s="214" t="e">
        <f>SQRT($E$118+D109)</f>
        <v>#N/A</v>
      </c>
      <c r="F109" s="215"/>
      <c r="G109" s="216" t="e">
        <f>A109*($B$116*J55-L55)^2</f>
        <v>#DIV/0!</v>
      </c>
      <c r="I109" s="767"/>
      <c r="J109" s="768"/>
      <c r="K109" s="769"/>
    </row>
    <row r="110" spans="1:13" s="146" customFormat="1" ht="35.1" customHeight="1" x14ac:dyDescent="0.2">
      <c r="A110" s="213" t="e">
        <f>(1/G82)^2</f>
        <v>#DIV/0!</v>
      </c>
      <c r="B110" s="213" t="e">
        <f>A110*J56*L56</f>
        <v>#DIV/0!</v>
      </c>
      <c r="C110" s="213" t="e">
        <f>(J56)^2*A110</f>
        <v>#DIV/0!</v>
      </c>
      <c r="D110" s="213" t="e">
        <f>$B$117*$E$118+$B$118*J56^2</f>
        <v>#DIV/0!</v>
      </c>
      <c r="E110" s="214" t="e">
        <f>SQRT($E$118+D110)</f>
        <v>#N/A</v>
      </c>
      <c r="F110" s="217"/>
      <c r="G110" s="216" t="e">
        <f>A110*($B$116*J56-L56)^2</f>
        <v>#DIV/0!</v>
      </c>
      <c r="I110" s="767"/>
      <c r="J110" s="768"/>
      <c r="K110" s="769"/>
    </row>
    <row r="111" spans="1:13" s="146" customFormat="1" ht="35.1" customHeight="1" x14ac:dyDescent="0.2">
      <c r="A111" s="213" t="e">
        <f>(1/H82)^2</f>
        <v>#DIV/0!</v>
      </c>
      <c r="B111" s="213" t="e">
        <f>A111*J57*L57</f>
        <v>#DIV/0!</v>
      </c>
      <c r="C111" s="213" t="e">
        <f>(J57)^2*A111</f>
        <v>#DIV/0!</v>
      </c>
      <c r="D111" s="213" t="e">
        <f>$B$117*$E$118+$B$118*J57^2</f>
        <v>#DIV/0!</v>
      </c>
      <c r="E111" s="214" t="e">
        <f>SQRT($E$118+D111)</f>
        <v>#N/A</v>
      </c>
      <c r="F111" s="218"/>
      <c r="G111" s="216" t="e">
        <f>A111*($B$116*J57-L57)^2</f>
        <v>#DIV/0!</v>
      </c>
      <c r="I111" s="767"/>
      <c r="J111" s="768"/>
      <c r="K111" s="769"/>
    </row>
    <row r="112" spans="1:13" s="146" customFormat="1" ht="35.1" customHeight="1" x14ac:dyDescent="0.2">
      <c r="A112" s="213" t="e">
        <f>(1/I82)^2</f>
        <v>#DIV/0!</v>
      </c>
      <c r="B112" s="213" t="e">
        <f>A112*J58*L58</f>
        <v>#DIV/0!</v>
      </c>
      <c r="C112" s="213" t="e">
        <f>(J58)^2*A112</f>
        <v>#DIV/0!</v>
      </c>
      <c r="D112" s="213" t="e">
        <f>$B$117*$E$118+$B$118*J58^2</f>
        <v>#DIV/0!</v>
      </c>
      <c r="E112" s="214" t="e">
        <f>SQRT($E$118+D112)</f>
        <v>#N/A</v>
      </c>
      <c r="F112" s="217"/>
      <c r="G112" s="216" t="e">
        <f>A112*($B$116*J58-L58)^2</f>
        <v>#DIV/0!</v>
      </c>
      <c r="I112" s="767"/>
      <c r="J112" s="768"/>
      <c r="K112" s="769"/>
    </row>
    <row r="113" spans="1:12" s="146" customFormat="1" ht="35.1" customHeight="1" x14ac:dyDescent="0.2">
      <c r="A113" s="213" t="e">
        <f>(1/J82)^2</f>
        <v>#DIV/0!</v>
      </c>
      <c r="B113" s="213" t="e">
        <f>A113*J59*L59</f>
        <v>#DIV/0!</v>
      </c>
      <c r="C113" s="213" t="e">
        <f>(J59)^2*A113</f>
        <v>#DIV/0!</v>
      </c>
      <c r="D113" s="213" t="e">
        <f>$B$117*$E$118+$B$118*J59^2</f>
        <v>#DIV/0!</v>
      </c>
      <c r="E113" s="214" t="e">
        <f>SQRT($E$118+D113)</f>
        <v>#N/A</v>
      </c>
      <c r="F113" s="217"/>
      <c r="G113" s="216" t="e">
        <f>A113*($B$116*J59-L59)^2</f>
        <v>#DIV/0!</v>
      </c>
      <c r="I113" s="767"/>
      <c r="J113" s="768"/>
      <c r="K113" s="769"/>
    </row>
    <row r="114" spans="1:12" s="99" customFormat="1" ht="27" customHeight="1" x14ac:dyDescent="0.25">
      <c r="A114" s="256" t="s">
        <v>38</v>
      </c>
      <c r="B114" s="219" t="e">
        <f t="shared" ref="B114" si="17">SUM(B109:B113)</f>
        <v>#DIV/0!</v>
      </c>
      <c r="C114" s="219" t="e">
        <f>SUM(C109:C113)</f>
        <v>#DIV/0!</v>
      </c>
      <c r="D114" s="220"/>
      <c r="E114" s="221" t="s">
        <v>168</v>
      </c>
      <c r="F114" s="222"/>
      <c r="G114" s="165" t="e">
        <f>SUM(G109:G113)</f>
        <v>#DIV/0!</v>
      </c>
      <c r="I114" s="767"/>
      <c r="J114" s="768"/>
      <c r="K114" s="769"/>
    </row>
    <row r="115" spans="1:12" s="99" customFormat="1" ht="9.9499999999999993" customHeight="1" x14ac:dyDescent="0.2">
      <c r="B115" s="220"/>
      <c r="C115" s="220"/>
      <c r="D115" s="220"/>
      <c r="E115" s="220"/>
      <c r="F115" s="220"/>
      <c r="G115" s="220"/>
    </row>
    <row r="116" spans="1:12" ht="35.1" customHeight="1" x14ac:dyDescent="0.2">
      <c r="A116" s="223" t="s">
        <v>169</v>
      </c>
      <c r="B116" s="213" t="e">
        <f>(B114/C114)</f>
        <v>#DIV/0!</v>
      </c>
      <c r="F116" s="224" t="s">
        <v>43</v>
      </c>
      <c r="G116" s="187">
        <v>2</v>
      </c>
      <c r="I116" s="225"/>
      <c r="J116" s="225"/>
      <c r="K116" s="225"/>
    </row>
    <row r="117" spans="1:12" ht="35.1" customHeight="1" x14ac:dyDescent="0.2">
      <c r="A117" s="226" t="s">
        <v>170</v>
      </c>
      <c r="B117" s="227" t="e">
        <f>B116^2</f>
        <v>#DIV/0!</v>
      </c>
      <c r="C117" s="228" t="s">
        <v>171</v>
      </c>
      <c r="D117" s="222"/>
      <c r="E117" s="227" t="e">
        <f>F48^2</f>
        <v>#DIV/0!</v>
      </c>
      <c r="F117" s="229" t="s">
        <v>44</v>
      </c>
      <c r="G117" s="230">
        <f>G26</f>
        <v>3</v>
      </c>
      <c r="I117" s="499" t="e">
        <f>ABS(G114-G117)</f>
        <v>#DIV/0!</v>
      </c>
      <c r="J117" s="231" t="s">
        <v>39</v>
      </c>
      <c r="K117" s="232">
        <f>G116*SQRT(2*G117)</f>
        <v>4.8989794855663558</v>
      </c>
    </row>
    <row r="118" spans="1:12" ht="35.1" customHeight="1" x14ac:dyDescent="0.2">
      <c r="A118" s="233" t="s">
        <v>121</v>
      </c>
      <c r="B118" s="227" t="e">
        <f>1/C114</f>
        <v>#DIV/0!</v>
      </c>
      <c r="C118" s="257" t="s">
        <v>172</v>
      </c>
      <c r="D118" s="258"/>
      <c r="E118" s="227" t="e">
        <f>((D14*1000)^2)/6+E117</f>
        <v>#N/A</v>
      </c>
      <c r="F118" s="224" t="s">
        <v>66</v>
      </c>
      <c r="G118" s="162" t="e">
        <f>MAX(F99:J99)</f>
        <v>#DIV/0!</v>
      </c>
      <c r="I118" s="856" t="e">
        <f>IF(I117&lt;=K117,"APROBADO","NO APROBADO")</f>
        <v>#DIV/0!</v>
      </c>
      <c r="J118" s="856"/>
      <c r="K118" s="856"/>
    </row>
    <row r="119" spans="1:12" ht="9.9499999999999993" customHeight="1" x14ac:dyDescent="0.2"/>
    <row r="120" spans="1:12" ht="35.1" customHeight="1" x14ac:dyDescent="0.2">
      <c r="A120" s="855" t="s">
        <v>120</v>
      </c>
      <c r="B120" s="855"/>
      <c r="C120" s="855"/>
      <c r="D120" s="855"/>
      <c r="E120" s="855"/>
      <c r="F120" s="855"/>
      <c r="G120" s="855"/>
      <c r="H120" s="855"/>
      <c r="I120" s="855"/>
      <c r="J120" s="855"/>
      <c r="K120" s="855"/>
      <c r="L120" s="855"/>
    </row>
    <row r="121" spans="1:12" ht="35.1" customHeight="1" x14ac:dyDescent="0.2">
      <c r="C121" s="234" t="s">
        <v>41</v>
      </c>
      <c r="D121" s="160" t="e">
        <f>SLOPE(E109:E113,G21:G25)</f>
        <v>#N/A</v>
      </c>
      <c r="E121" s="852" t="s">
        <v>122</v>
      </c>
      <c r="F121" s="853"/>
      <c r="G121" s="235" t="s">
        <v>76</v>
      </c>
      <c r="H121" s="236">
        <v>5</v>
      </c>
      <c r="I121" s="94"/>
      <c r="K121" s="94"/>
    </row>
    <row r="122" spans="1:12" ht="35.1" customHeight="1" x14ac:dyDescent="0.2">
      <c r="C122" s="234" t="s">
        <v>42</v>
      </c>
      <c r="D122" s="160" t="e">
        <f>INTERCEPT(E109:E113,G21:G25)</f>
        <v>#N/A</v>
      </c>
      <c r="E122" s="852" t="s">
        <v>123</v>
      </c>
      <c r="F122" s="853"/>
      <c r="G122" s="234" t="s">
        <v>77</v>
      </c>
      <c r="H122" s="236" t="e">
        <f>D121*H121+D122</f>
        <v>#N/A</v>
      </c>
    </row>
    <row r="123" spans="1:12" ht="35.1" customHeight="1" x14ac:dyDescent="0.2">
      <c r="L123" s="99"/>
    </row>
    <row r="124" spans="1:12" ht="35.1" customHeight="1" x14ac:dyDescent="0.2">
      <c r="J124" s="127" t="s">
        <v>70</v>
      </c>
      <c r="K124" s="127" t="s">
        <v>71</v>
      </c>
    </row>
    <row r="125" spans="1:12" ht="35.1" customHeight="1" x14ac:dyDescent="0.2">
      <c r="J125" s="237" t="e">
        <f>G21</f>
        <v>#N/A</v>
      </c>
      <c r="K125" s="238" t="e">
        <f>E109</f>
        <v>#N/A</v>
      </c>
    </row>
    <row r="126" spans="1:12" ht="35.1" customHeight="1" x14ac:dyDescent="0.2">
      <c r="I126" s="107"/>
      <c r="J126" s="239" t="e">
        <f>G22</f>
        <v>#N/A</v>
      </c>
      <c r="K126" s="240" t="e">
        <f>E110</f>
        <v>#N/A</v>
      </c>
    </row>
    <row r="127" spans="1:12" ht="35.1" customHeight="1" x14ac:dyDescent="0.2">
      <c r="I127" s="107"/>
      <c r="J127" s="239" t="e">
        <f>G23</f>
        <v>#N/A</v>
      </c>
      <c r="K127" s="240" t="e">
        <f>E111</f>
        <v>#N/A</v>
      </c>
    </row>
    <row r="128" spans="1:12" ht="35.1" customHeight="1" x14ac:dyDescent="0.2">
      <c r="I128" s="107"/>
      <c r="J128" s="239" t="e">
        <f>G24</f>
        <v>#N/A</v>
      </c>
      <c r="K128" s="240" t="e">
        <f>E112</f>
        <v>#N/A</v>
      </c>
    </row>
    <row r="129" spans="1:20" ht="35.1" customHeight="1" x14ac:dyDescent="0.2">
      <c r="A129" s="241"/>
      <c r="I129" s="107"/>
      <c r="J129" s="239" t="e">
        <f>G25</f>
        <v>#N/A</v>
      </c>
      <c r="K129" s="242" t="e">
        <f>E113</f>
        <v>#N/A</v>
      </c>
    </row>
    <row r="130" spans="1:20" ht="35.1" customHeight="1" x14ac:dyDescent="0.2">
      <c r="A130" s="241"/>
      <c r="I130" s="107"/>
      <c r="J130" s="107"/>
      <c r="K130" s="107"/>
      <c r="L130" s="107"/>
    </row>
    <row r="131" spans="1:20" ht="9.9499999999999993" customHeight="1" x14ac:dyDescent="0.2">
      <c r="A131" s="241"/>
      <c r="I131" s="243"/>
      <c r="J131" s="243"/>
      <c r="K131" s="243"/>
      <c r="L131" s="243"/>
    </row>
    <row r="132" spans="1:20" s="99" customFormat="1" ht="35.1" customHeight="1" x14ac:dyDescent="0.2">
      <c r="B132" s="244" t="s">
        <v>173</v>
      </c>
      <c r="C132" s="245"/>
      <c r="D132" s="246" t="e">
        <f>B116*E117</f>
        <v>#DIV/0!</v>
      </c>
      <c r="E132" s="247" t="s">
        <v>72</v>
      </c>
      <c r="F132" s="245" t="s">
        <v>174</v>
      </c>
      <c r="G132" s="227" t="e">
        <f>B118</f>
        <v>#DIV/0!</v>
      </c>
      <c r="I132" s="107"/>
      <c r="J132" s="107"/>
      <c r="K132" s="107"/>
      <c r="L132" s="107"/>
      <c r="M132" s="94"/>
      <c r="N132" s="94"/>
      <c r="O132" s="94"/>
      <c r="P132" s="94"/>
      <c r="Q132" s="94"/>
      <c r="R132" s="94"/>
      <c r="S132" s="94"/>
      <c r="T132" s="94"/>
    </row>
    <row r="133" spans="1:20" s="99" customFormat="1" ht="9.9499999999999993" customHeight="1" x14ac:dyDescent="0.2">
      <c r="A133" s="94"/>
      <c r="D133" s="248"/>
      <c r="E133" s="249"/>
      <c r="M133" s="94"/>
      <c r="N133" s="94"/>
      <c r="O133" s="94"/>
      <c r="P133" s="94"/>
      <c r="Q133" s="94"/>
      <c r="R133" s="94"/>
      <c r="S133" s="94"/>
      <c r="T133" s="94"/>
    </row>
    <row r="134" spans="1:20" ht="35.1" customHeight="1" x14ac:dyDescent="0.2">
      <c r="A134" s="854" t="s">
        <v>74</v>
      </c>
      <c r="B134" s="854"/>
      <c r="C134" s="854"/>
      <c r="D134" s="854"/>
      <c r="E134" s="854"/>
      <c r="F134" s="854"/>
      <c r="G134" s="854"/>
      <c r="H134" s="854"/>
      <c r="I134" s="854"/>
      <c r="J134" s="854"/>
      <c r="K134" s="854"/>
      <c r="L134" s="854"/>
    </row>
    <row r="135" spans="1:20" ht="35.1" customHeight="1" thickBot="1" x14ac:dyDescent="0.25">
      <c r="B135" s="789" t="s">
        <v>67</v>
      </c>
      <c r="C135" s="789"/>
      <c r="D135" s="789"/>
      <c r="E135" s="141" t="s">
        <v>149</v>
      </c>
      <c r="F135" s="266" t="e">
        <f>B116</f>
        <v>#DIV/0!</v>
      </c>
      <c r="G135" s="259" t="s">
        <v>73</v>
      </c>
      <c r="H135" s="94"/>
      <c r="K135" s="94"/>
    </row>
    <row r="136" spans="1:20" ht="9.9499999999999993" customHeight="1" x14ac:dyDescent="0.2">
      <c r="K136" s="94"/>
    </row>
    <row r="137" spans="1:20" ht="35.1" customHeight="1" x14ac:dyDescent="0.2">
      <c r="B137" s="789" t="s">
        <v>68</v>
      </c>
      <c r="C137" s="789"/>
      <c r="D137" s="789"/>
      <c r="E137" s="139" t="s">
        <v>75</v>
      </c>
      <c r="F137" s="264" t="e">
        <f>D122*G118</f>
        <v>#N/A</v>
      </c>
      <c r="G137" s="247" t="s">
        <v>72</v>
      </c>
      <c r="H137" s="265" t="e">
        <f>D121*G118</f>
        <v>#N/A</v>
      </c>
      <c r="I137" s="260" t="s">
        <v>73</v>
      </c>
      <c r="J137" s="94"/>
      <c r="K137" s="94"/>
    </row>
    <row r="138" spans="1:20" ht="35.1" customHeight="1" x14ac:dyDescent="0.2">
      <c r="B138" s="963" t="s">
        <v>68</v>
      </c>
      <c r="C138" s="963"/>
      <c r="D138" s="963"/>
      <c r="E138" s="964" t="s">
        <v>439</v>
      </c>
      <c r="F138" s="965" t="e">
        <f>F137/1000</f>
        <v>#N/A</v>
      </c>
      <c r="G138" s="966" t="s">
        <v>72</v>
      </c>
      <c r="H138" s="967" t="e">
        <f>H137</f>
        <v>#N/A</v>
      </c>
      <c r="I138" s="968" t="s">
        <v>73</v>
      </c>
      <c r="J138" s="94"/>
      <c r="K138" s="94"/>
    </row>
    <row r="139" spans="1:20" ht="15" customHeight="1" x14ac:dyDescent="0.2">
      <c r="J139" s="94"/>
      <c r="K139" s="94"/>
    </row>
    <row r="140" spans="1:20" ht="15" customHeight="1" x14ac:dyDescent="0.2"/>
    <row r="141" spans="1:20" ht="15" customHeight="1" x14ac:dyDescent="0.2"/>
    <row r="142" spans="1:20" ht="15" customHeight="1" x14ac:dyDescent="0.2">
      <c r="M142" s="99"/>
    </row>
    <row r="143" spans="1:20" s="282" customFormat="1" ht="15" customHeight="1" x14ac:dyDescent="0.2">
      <c r="B143" s="283"/>
      <c r="C143" s="283"/>
      <c r="D143" s="283"/>
      <c r="E143" s="283"/>
      <c r="F143" s="283"/>
      <c r="G143" s="283"/>
      <c r="H143" s="283"/>
      <c r="I143" s="283"/>
      <c r="J143" s="283"/>
      <c r="K143" s="283"/>
      <c r="L143" s="94"/>
    </row>
    <row r="144" spans="1:20" s="282" customFormat="1" ht="15" customHeight="1" x14ac:dyDescent="0.2">
      <c r="B144" s="283"/>
      <c r="C144" s="283"/>
      <c r="D144" s="283"/>
      <c r="E144" s="283"/>
      <c r="F144" s="283"/>
      <c r="G144" s="283"/>
      <c r="H144" s="283"/>
      <c r="I144" s="283"/>
      <c r="J144" s="283"/>
      <c r="K144" s="283"/>
      <c r="L144" s="94"/>
    </row>
    <row r="145" spans="1:12" s="282" customFormat="1" ht="15" customHeight="1" thickBot="1" x14ac:dyDescent="0.25">
      <c r="B145" s="283"/>
      <c r="C145" s="283"/>
      <c r="D145" s="283"/>
      <c r="E145" s="283"/>
      <c r="F145" s="283"/>
      <c r="G145" s="283"/>
      <c r="H145" s="283"/>
      <c r="I145" s="283"/>
      <c r="J145" s="283"/>
      <c r="K145" s="284"/>
      <c r="L145" s="94"/>
    </row>
    <row r="146" spans="1:12" s="282" customFormat="1" ht="35.1" customHeight="1" x14ac:dyDescent="0.2">
      <c r="A146" s="868" t="s">
        <v>371</v>
      </c>
      <c r="B146" s="869"/>
      <c r="C146" s="869"/>
      <c r="D146" s="869"/>
      <c r="E146" s="869"/>
      <c r="F146" s="869"/>
      <c r="G146" s="869"/>
      <c r="H146" s="869"/>
      <c r="I146" s="869"/>
      <c r="J146" s="869"/>
      <c r="K146" s="870"/>
      <c r="L146" s="94"/>
    </row>
    <row r="147" spans="1:12" s="282" customFormat="1" ht="35.1" customHeight="1" thickBot="1" x14ac:dyDescent="0.25">
      <c r="A147" s="871"/>
      <c r="B147" s="872"/>
      <c r="C147" s="872"/>
      <c r="D147" s="872"/>
      <c r="E147" s="872"/>
      <c r="F147" s="872"/>
      <c r="G147" s="872"/>
      <c r="H147" s="872"/>
      <c r="I147" s="872"/>
      <c r="J147" s="872"/>
      <c r="K147" s="873"/>
      <c r="L147" s="94"/>
    </row>
    <row r="148" spans="1:12" s="282" customFormat="1" ht="35.1" customHeight="1" x14ac:dyDescent="0.2">
      <c r="A148" s="874"/>
      <c r="B148" s="875"/>
      <c r="C148" s="875"/>
      <c r="D148" s="875"/>
      <c r="E148" s="875"/>
      <c r="F148" s="875"/>
      <c r="G148" s="875"/>
      <c r="H148" s="875"/>
      <c r="I148" s="875"/>
      <c r="J148" s="875"/>
      <c r="K148" s="876"/>
      <c r="L148" s="94"/>
    </row>
    <row r="149" spans="1:12" s="282" customFormat="1" ht="35.1" customHeight="1" x14ac:dyDescent="0.2">
      <c r="A149" s="877"/>
      <c r="B149" s="878"/>
      <c r="C149" s="878"/>
      <c r="D149" s="878"/>
      <c r="E149" s="878"/>
      <c r="F149" s="878"/>
      <c r="G149" s="878"/>
      <c r="H149" s="878"/>
      <c r="I149" s="878"/>
      <c r="J149" s="878"/>
      <c r="K149" s="879"/>
    </row>
    <row r="150" spans="1:12" s="282" customFormat="1" ht="35.1" customHeight="1" thickBot="1" x14ac:dyDescent="0.25">
      <c r="A150" s="880"/>
      <c r="B150" s="881"/>
      <c r="C150" s="881"/>
      <c r="D150" s="881"/>
      <c r="E150" s="881"/>
      <c r="F150" s="881"/>
      <c r="G150" s="881"/>
      <c r="H150" s="881"/>
      <c r="I150" s="881"/>
      <c r="J150" s="881"/>
      <c r="K150" s="882"/>
    </row>
    <row r="151" spans="1:12" s="282" customFormat="1" ht="35.1" customHeight="1" thickBot="1" x14ac:dyDescent="0.25">
      <c r="E151" s="301">
        <f>A44</f>
        <v>0</v>
      </c>
    </row>
    <row r="152" spans="1:12" s="282" customFormat="1" ht="35.1" customHeight="1" thickBot="1" x14ac:dyDescent="0.25">
      <c r="A152" s="285"/>
      <c r="B152" s="285"/>
      <c r="C152" s="286"/>
      <c r="D152" s="287"/>
      <c r="E152" s="287"/>
      <c r="F152" s="287"/>
      <c r="G152" s="286"/>
      <c r="H152" s="288"/>
      <c r="I152" s="288"/>
      <c r="J152" s="289"/>
      <c r="K152" s="289"/>
    </row>
    <row r="153" spans="1:12" s="282" customFormat="1" ht="35.1" customHeight="1" thickBot="1" x14ac:dyDescent="0.25">
      <c r="A153" s="883" t="s">
        <v>372</v>
      </c>
      <c r="B153" s="884"/>
      <c r="C153" s="885"/>
      <c r="D153" s="290"/>
      <c r="E153" s="296" t="s">
        <v>373</v>
      </c>
      <c r="F153" s="297" t="s">
        <v>350</v>
      </c>
      <c r="G153" s="298" t="s">
        <v>348</v>
      </c>
      <c r="H153" s="288"/>
      <c r="I153" s="287"/>
      <c r="J153" s="287"/>
      <c r="K153" s="287"/>
    </row>
    <row r="154" spans="1:12" s="282" customFormat="1" ht="35.1" customHeight="1" thickBot="1" x14ac:dyDescent="0.25">
      <c r="A154" s="886">
        <v>0.7</v>
      </c>
      <c r="B154" s="887"/>
      <c r="C154" s="888"/>
      <c r="D154" s="291"/>
      <c r="E154" s="299" t="s">
        <v>374</v>
      </c>
      <c r="F154" s="300" t="e">
        <f>I6</f>
        <v>#N/A</v>
      </c>
      <c r="G154" s="300" t="e">
        <f>F6</f>
        <v>#N/A</v>
      </c>
      <c r="H154" s="287"/>
      <c r="I154" s="287"/>
      <c r="J154" s="287"/>
      <c r="K154" s="287"/>
    </row>
    <row r="155" spans="1:12" s="282" customFormat="1" ht="35.1" customHeight="1" thickBot="1" x14ac:dyDescent="0.25">
      <c r="A155" s="889" t="s">
        <v>375</v>
      </c>
      <c r="B155" s="890"/>
      <c r="C155" s="891"/>
      <c r="D155" s="291"/>
      <c r="E155" s="895" t="s">
        <v>376</v>
      </c>
      <c r="F155" s="896"/>
      <c r="G155" s="897"/>
      <c r="H155" s="287"/>
      <c r="I155" s="287"/>
      <c r="J155" s="287"/>
      <c r="K155" s="287"/>
    </row>
    <row r="156" spans="1:12" s="282" customFormat="1" ht="35.1" customHeight="1" thickBot="1" x14ac:dyDescent="0.25">
      <c r="A156" s="892"/>
      <c r="B156" s="893"/>
      <c r="C156" s="894"/>
      <c r="D156" s="291"/>
      <c r="F156" s="301">
        <f>A45</f>
        <v>0</v>
      </c>
      <c r="G156" s="301">
        <f>A46</f>
        <v>0</v>
      </c>
      <c r="H156" s="287"/>
      <c r="I156" s="287"/>
      <c r="J156" s="287"/>
      <c r="K156" s="287"/>
    </row>
    <row r="157" spans="1:12" s="282" customFormat="1" ht="35.1" customHeight="1" thickBot="1" x14ac:dyDescent="0.25">
      <c r="A157" s="859" t="s">
        <v>377</v>
      </c>
      <c r="B157" s="317" t="s">
        <v>378</v>
      </c>
      <c r="C157" s="318">
        <v>9</v>
      </c>
      <c r="D157" s="291"/>
      <c r="E157" s="862" t="s">
        <v>379</v>
      </c>
      <c r="F157" s="863"/>
      <c r="G157" s="864"/>
      <c r="H157" s="287"/>
      <c r="I157" s="287"/>
      <c r="J157" s="287"/>
      <c r="K157" s="287"/>
    </row>
    <row r="158" spans="1:12" s="282" customFormat="1" ht="35.1" customHeight="1" thickBot="1" x14ac:dyDescent="0.25">
      <c r="A158" s="860"/>
      <c r="B158" s="305">
        <v>1</v>
      </c>
      <c r="C158" s="306">
        <v>3.1789999999999998</v>
      </c>
      <c r="D158" s="865"/>
      <c r="E158" s="302" t="e">
        <f>E48</f>
        <v>#DIV/0!</v>
      </c>
      <c r="F158" s="303" t="e">
        <f>E49</f>
        <v>#DIV/0!</v>
      </c>
      <c r="G158" s="302" t="e">
        <f>E50</f>
        <v>#DIV/0!</v>
      </c>
      <c r="H158" s="287"/>
      <c r="I158" s="287"/>
      <c r="J158" s="287"/>
      <c r="K158" s="287"/>
    </row>
    <row r="159" spans="1:12" s="282" customFormat="1" ht="35.1" customHeight="1" x14ac:dyDescent="0.2">
      <c r="A159" s="860"/>
      <c r="B159" s="307">
        <v>2</v>
      </c>
      <c r="C159" s="308">
        <v>2.456</v>
      </c>
      <c r="D159" s="866"/>
      <c r="E159" s="512" t="e">
        <f>E158^2</f>
        <v>#DIV/0!</v>
      </c>
      <c r="F159" s="513" t="e">
        <f>F158^2</f>
        <v>#DIV/0!</v>
      </c>
      <c r="G159" s="514" t="e">
        <f>G158^2</f>
        <v>#DIV/0!</v>
      </c>
      <c r="H159" s="287"/>
      <c r="I159" s="287"/>
      <c r="J159" s="287"/>
      <c r="K159" s="287"/>
    </row>
    <row r="160" spans="1:12" s="282" customFormat="1" ht="35.1" customHeight="1" x14ac:dyDescent="0.2">
      <c r="A160" s="860"/>
      <c r="B160" s="309">
        <v>3</v>
      </c>
      <c r="C160" s="310">
        <v>2.25</v>
      </c>
      <c r="D160" s="866"/>
      <c r="E160" s="304">
        <f>$A$154^2</f>
        <v>0.48999999999999994</v>
      </c>
      <c r="F160" s="304">
        <f t="shared" ref="F160:G160" si="18">$A$154^2</f>
        <v>0.48999999999999994</v>
      </c>
      <c r="G160" s="304">
        <f t="shared" si="18"/>
        <v>0.48999999999999994</v>
      </c>
      <c r="H160" s="287"/>
      <c r="I160" s="287"/>
      <c r="J160" s="287"/>
      <c r="K160" s="287"/>
    </row>
    <row r="161" spans="1:11" s="282" customFormat="1" ht="35.1" customHeight="1" x14ac:dyDescent="0.2">
      <c r="A161" s="860"/>
      <c r="B161" s="307">
        <v>4</v>
      </c>
      <c r="C161" s="311">
        <v>2.153</v>
      </c>
      <c r="D161" s="866"/>
      <c r="E161" s="292" t="e">
        <f>E159/E160</f>
        <v>#DIV/0!</v>
      </c>
      <c r="F161" s="292" t="e">
        <f t="shared" ref="F161:G161" si="19">F159/F160</f>
        <v>#DIV/0!</v>
      </c>
      <c r="G161" s="292" t="e">
        <f t="shared" si="19"/>
        <v>#DIV/0!</v>
      </c>
      <c r="H161" s="287"/>
      <c r="I161" s="287"/>
      <c r="J161" s="287"/>
      <c r="K161" s="287"/>
    </row>
    <row r="162" spans="1:11" s="282" customFormat="1" ht="35.1" customHeight="1" thickBot="1" x14ac:dyDescent="0.25">
      <c r="A162" s="860"/>
      <c r="B162" s="309">
        <v>5</v>
      </c>
      <c r="C162" s="311">
        <v>2.0960000000000001</v>
      </c>
      <c r="D162" s="867"/>
      <c r="E162" s="293" t="e">
        <f>IF(E161&lt;=$C$158,"OK","MAL")</f>
        <v>#DIV/0!</v>
      </c>
      <c r="F162" s="293" t="e">
        <f t="shared" ref="F162:G162" si="20">IF(F161&lt;=$C$158,"OK","MAL")</f>
        <v>#DIV/0!</v>
      </c>
      <c r="G162" s="293" t="e">
        <f t="shared" si="20"/>
        <v>#DIV/0!</v>
      </c>
      <c r="H162" s="287"/>
      <c r="I162" s="287"/>
      <c r="J162" s="287"/>
      <c r="K162" s="287"/>
    </row>
    <row r="163" spans="1:11" s="282" customFormat="1" ht="35.1" customHeight="1" x14ac:dyDescent="0.2">
      <c r="A163" s="860"/>
      <c r="B163" s="307">
        <v>6</v>
      </c>
      <c r="C163" s="311">
        <v>2.0590000000000002</v>
      </c>
      <c r="D163" s="291"/>
      <c r="E163" s="314" t="s">
        <v>380</v>
      </c>
      <c r="F163" s="315" t="s">
        <v>381</v>
      </c>
      <c r="G163" s="290"/>
      <c r="H163" s="283"/>
      <c r="I163" s="283"/>
      <c r="J163" s="287"/>
      <c r="K163" s="287"/>
    </row>
    <row r="164" spans="1:11" s="282" customFormat="1" ht="35.1" customHeight="1" x14ac:dyDescent="0.2">
      <c r="A164" s="860"/>
      <c r="B164" s="309">
        <v>7</v>
      </c>
      <c r="C164" s="311">
        <v>2.032</v>
      </c>
      <c r="D164" s="291"/>
      <c r="E164" s="316">
        <f>$C$157</f>
        <v>9</v>
      </c>
      <c r="F164" s="310">
        <f>2.25*-1</f>
        <v>-2.25</v>
      </c>
      <c r="G164" s="290"/>
      <c r="H164" s="283"/>
      <c r="I164" s="283"/>
      <c r="J164" s="287"/>
      <c r="K164" s="287"/>
    </row>
    <row r="165" spans="1:11" s="282" customFormat="1" ht="35.1" customHeight="1" x14ac:dyDescent="0.2">
      <c r="A165" s="860"/>
      <c r="B165" s="307">
        <v>8</v>
      </c>
      <c r="C165" s="311">
        <v>2.0129999999999999</v>
      </c>
      <c r="D165" s="291"/>
      <c r="E165" s="316">
        <f t="shared" ref="E165:E166" si="21">$C$157</f>
        <v>9</v>
      </c>
      <c r="F165" s="310">
        <f t="shared" ref="F165:F166" si="22">2.25*-1</f>
        <v>-2.25</v>
      </c>
      <c r="G165" s="290"/>
      <c r="H165" s="283"/>
      <c r="I165" s="283"/>
      <c r="J165" s="287"/>
      <c r="K165" s="287"/>
    </row>
    <row r="166" spans="1:11" s="282" customFormat="1" ht="35.1" customHeight="1" x14ac:dyDescent="0.2">
      <c r="A166" s="860"/>
      <c r="B166" s="309">
        <v>9</v>
      </c>
      <c r="C166" s="311">
        <v>1.998</v>
      </c>
      <c r="D166" s="291"/>
      <c r="E166" s="316">
        <f t="shared" si="21"/>
        <v>9</v>
      </c>
      <c r="F166" s="310">
        <f t="shared" si="22"/>
        <v>-2.25</v>
      </c>
      <c r="G166" s="290"/>
      <c r="H166" s="283"/>
      <c r="I166" s="283"/>
      <c r="J166" s="287"/>
      <c r="K166" s="287"/>
    </row>
    <row r="167" spans="1:11" s="282" customFormat="1" ht="35.1" customHeight="1" thickBot="1" x14ac:dyDescent="0.25">
      <c r="A167" s="861"/>
      <c r="B167" s="312">
        <v>10</v>
      </c>
      <c r="C167" s="313">
        <v>1.986</v>
      </c>
      <c r="D167" s="291"/>
      <c r="E167" s="294"/>
      <c r="F167" s="294"/>
      <c r="G167" s="295"/>
      <c r="H167" s="287"/>
      <c r="I167" s="287"/>
      <c r="J167" s="287"/>
      <c r="K167" s="287"/>
    </row>
  </sheetData>
  <sheetProtection algorithmName="SHA-512" hashValue="m1VSz8e14zhPuSlHjy/mC7ejj6RuJ75ACPN44a5VFzWvV0FLYPHvZuP233gNLbJGhSffQUIFyx+qrecfW17xKQ==" saltValue="/cvZe9ybJz3Nar7dY1GA3g==" spinCount="100000" sheet="1" objects="1" scenarios="1"/>
  <dataConsolidate>
    <dataRefs count="2">
      <dataRef ref="C5:D7" sheet="DATOS DE LOS PATRONES " r:id="rId1"/>
      <dataRef ref="K5:L7" sheet="DATOS DE LOS PATRONES " r:id="rId2"/>
    </dataRefs>
  </dataConsolidate>
  <mergeCells count="121">
    <mergeCell ref="A157:A167"/>
    <mergeCell ref="E157:G157"/>
    <mergeCell ref="D158:D162"/>
    <mergeCell ref="A146:K147"/>
    <mergeCell ref="A148:K150"/>
    <mergeCell ref="A153:C153"/>
    <mergeCell ref="A154:C154"/>
    <mergeCell ref="A155:C156"/>
    <mergeCell ref="E155:G155"/>
    <mergeCell ref="A72:E72"/>
    <mergeCell ref="B137:D137"/>
    <mergeCell ref="E122:F122"/>
    <mergeCell ref="E121:F121"/>
    <mergeCell ref="A134:L134"/>
    <mergeCell ref="A120:L120"/>
    <mergeCell ref="I111:K111"/>
    <mergeCell ref="I112:K112"/>
    <mergeCell ref="I113:K113"/>
    <mergeCell ref="I114:K114"/>
    <mergeCell ref="B135:D135"/>
    <mergeCell ref="I118:K118"/>
    <mergeCell ref="A87:C87"/>
    <mergeCell ref="A86:C86"/>
    <mergeCell ref="C96:E96"/>
    <mergeCell ref="B94:E94"/>
    <mergeCell ref="D88:E88"/>
    <mergeCell ref="D86:E86"/>
    <mergeCell ref="I110:K110"/>
    <mergeCell ref="A93:C93"/>
    <mergeCell ref="D91:E91"/>
    <mergeCell ref="D92:E92"/>
    <mergeCell ref="D93:E93"/>
    <mergeCell ref="C78:E78"/>
    <mergeCell ref="C75:E75"/>
    <mergeCell ref="C74:E74"/>
    <mergeCell ref="C79:E79"/>
    <mergeCell ref="C80:E80"/>
    <mergeCell ref="A79:B79"/>
    <mergeCell ref="A88:C88"/>
    <mergeCell ref="A77:B77"/>
    <mergeCell ref="G14:H14"/>
    <mergeCell ref="B15:C15"/>
    <mergeCell ref="G15:H15"/>
    <mergeCell ref="I15:J15"/>
    <mergeCell ref="B61:I61"/>
    <mergeCell ref="B41:J41"/>
    <mergeCell ref="I12:J12"/>
    <mergeCell ref="I13:J13"/>
    <mergeCell ref="I14:J14"/>
    <mergeCell ref="J5:J6"/>
    <mergeCell ref="A1:B3"/>
    <mergeCell ref="B53:E53"/>
    <mergeCell ref="A66:L66"/>
    <mergeCell ref="B42:J42"/>
    <mergeCell ref="C1:L3"/>
    <mergeCell ref="B8:E8"/>
    <mergeCell ref="K61:L61"/>
    <mergeCell ref="G19:G20"/>
    <mergeCell ref="H19:H20"/>
    <mergeCell ref="I19:I20"/>
    <mergeCell ref="J19:J20"/>
    <mergeCell ref="B11:C11"/>
    <mergeCell ref="B13:C13"/>
    <mergeCell ref="G13:H13"/>
    <mergeCell ref="B14:C14"/>
    <mergeCell ref="B33:G33"/>
    <mergeCell ref="B17:J17"/>
    <mergeCell ref="B27:K27"/>
    <mergeCell ref="B9:C9"/>
    <mergeCell ref="B10:C10"/>
    <mergeCell ref="I10:J10"/>
    <mergeCell ref="G10:H10"/>
    <mergeCell ref="B21:C23"/>
    <mergeCell ref="B12:C12"/>
    <mergeCell ref="G9:J9"/>
    <mergeCell ref="G11:H11"/>
    <mergeCell ref="G28:H28"/>
    <mergeCell ref="B104:D104"/>
    <mergeCell ref="B138:D138"/>
    <mergeCell ref="D62:E62"/>
    <mergeCell ref="F62:G62"/>
    <mergeCell ref="H62:I62"/>
    <mergeCell ref="B31:I31"/>
    <mergeCell ref="B52:L52"/>
    <mergeCell ref="G53:L53"/>
    <mergeCell ref="G18:J18"/>
    <mergeCell ref="K63:L63"/>
    <mergeCell ref="I109:K109"/>
    <mergeCell ref="A74:B74"/>
    <mergeCell ref="D87:E87"/>
    <mergeCell ref="F81:J81"/>
    <mergeCell ref="C24:D24"/>
    <mergeCell ref="B18:C20"/>
    <mergeCell ref="B29:C29"/>
    <mergeCell ref="F29:G29"/>
    <mergeCell ref="I11:J11"/>
    <mergeCell ref="G12:H12"/>
    <mergeCell ref="K62:L62"/>
    <mergeCell ref="B63:C63"/>
    <mergeCell ref="B64:C64"/>
    <mergeCell ref="A73:E73"/>
    <mergeCell ref="F84:J84"/>
    <mergeCell ref="F76:J76"/>
    <mergeCell ref="G107:G108"/>
    <mergeCell ref="A106:G106"/>
    <mergeCell ref="I107:K107"/>
    <mergeCell ref="I108:K108"/>
    <mergeCell ref="F85:J85"/>
    <mergeCell ref="I106:K106"/>
    <mergeCell ref="F98:J98"/>
    <mergeCell ref="B103:D103"/>
    <mergeCell ref="A78:B78"/>
    <mergeCell ref="C77:E77"/>
    <mergeCell ref="F68:J68"/>
    <mergeCell ref="F71:J71"/>
    <mergeCell ref="B71:D71"/>
    <mergeCell ref="F101:H101"/>
    <mergeCell ref="F95:J95"/>
    <mergeCell ref="F90:J90"/>
    <mergeCell ref="A91:C91"/>
    <mergeCell ref="A92:C92"/>
  </mergeCells>
  <conditionalFormatting sqref="I118">
    <cfRule type="cellIs" dxfId="0" priority="1" operator="greaterThan">
      <formula>$I$117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scale="44" orientation="portrait" r:id="rId3"/>
  <headerFooter>
    <oddFooter xml:space="preserve">&amp;RRT03-F34 Vr.3 (2018-05-23)
</oddFooter>
  </headerFooter>
  <rowBreaks count="3" manualBreakCount="3">
    <brk id="50" max="16383" man="1"/>
    <brk id="96" max="12" man="1"/>
    <brk id="144" max="12" man="1"/>
  </rowBreaks>
  <drawing r:id="rId4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DATOS!$D$27:$D$88</xm:f>
          </x14:formula1>
          <xm:sqref>E24 K22:K24</xm:sqref>
        </x14:dataValidation>
        <x14:dataValidation type="list" allowBlank="1" showInputMessage="1" showErrorMessage="1">
          <x14:formula1>
            <xm:f>DATOS!$D$7:$D$9</xm:f>
          </x14:formula1>
          <xm:sqref>J5:J6</xm:sqref>
        </x14:dataValidation>
        <x14:dataValidation type="list" allowBlank="1" showInputMessage="1" showErrorMessage="1">
          <x14:formula1>
            <xm:f>DATOS!$D$16:$D$22</xm:f>
          </x14:formula1>
          <xm:sqref>F8</xm:sqref>
        </x14:dataValidation>
        <x14:dataValidation type="list" allowBlank="1" showInputMessage="1" showErrorMessage="1">
          <x14:formula1>
            <xm:f>DATOS!$D$27:$D$87</xm:f>
          </x14:formula1>
          <xm:sqref>K21</xm:sqref>
        </x14:dataValidation>
        <x14:dataValidation type="list" allowBlank="1" showInputMessage="1" showErrorMessage="1">
          <x14:formula1>
            <xm:f>DATOS!$C$27:$C$88</xm:f>
          </x14:formula1>
          <xm:sqref>K10</xm:sqref>
        </x14:dataValidation>
        <x14:dataValidation type="list" allowBlank="1" showInputMessage="1" showErrorMessage="1">
          <x14:formula1>
            <xm:f>DATOS!$P$98:$P$142</xm:f>
          </x14:formula1>
          <xm:sqref>K29</xm:sqref>
        </x14:dataValidation>
        <x14:dataValidation type="list" allowBlank="1" showInputMessage="1" showErrorMessage="1">
          <x14:formula1>
            <xm:f>DATOS!$D$97:$D$148</xm:f>
          </x14:formula1>
          <xm:sqref>K28</xm:sqref>
        </x14:dataValidation>
        <x14:dataValidation type="list" allowBlank="1" showInputMessage="1" showErrorMessage="1">
          <x14:formula1>
            <xm:f>DATOS!$D$155:$D$159</xm:f>
          </x14:formula1>
          <xm:sqref>K62</xm:sqref>
        </x14:dataValidation>
        <x14:dataValidation type="list" allowBlank="1" showInputMessage="1" showErrorMessage="1">
          <x14:formula1>
            <xm:f>DATOS!$L$27:$L$47</xm:f>
          </x14:formula1>
          <xm:sqref>E19</xm:sqref>
        </x14:dataValidation>
        <x14:dataValidation type="list" allowBlank="1" showInputMessage="1" showErrorMessage="1">
          <x14:formula1>
            <xm:f>DATOS!$M$27:$M$52</xm:f>
          </x14:formula1>
          <xm:sqref>D22:F22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197"/>
  <sheetViews>
    <sheetView showGridLines="0" showRuler="0" showWhiteSpace="0" view="pageBreakPreview" topLeftCell="A100" zoomScale="115" zoomScaleNormal="110" zoomScaleSheetLayoutView="115" zoomScalePageLayoutView="85" workbookViewId="0">
      <selection activeCell="B109" sqref="B109"/>
    </sheetView>
  </sheetViews>
  <sheetFormatPr baseColWidth="10" defaultRowHeight="15" customHeight="1" x14ac:dyDescent="0.2"/>
  <cols>
    <col min="1" max="3" width="14.7109375" style="6" customWidth="1"/>
    <col min="4" max="4" width="15.140625" style="6" customWidth="1"/>
    <col min="5" max="6" width="14.7109375" style="6" customWidth="1"/>
    <col min="7" max="16384" width="11.42578125" style="6"/>
  </cols>
  <sheetData>
    <row r="1" spans="1:6" ht="18.95" customHeight="1" x14ac:dyDescent="0.2">
      <c r="A1" s="14"/>
      <c r="B1" s="14"/>
      <c r="C1" s="15"/>
      <c r="D1" s="15"/>
      <c r="E1" s="15"/>
      <c r="F1" s="15"/>
    </row>
    <row r="2" spans="1:6" ht="15" customHeight="1" x14ac:dyDescent="0.2">
      <c r="A2" s="14"/>
      <c r="B2" s="14"/>
      <c r="C2" s="15"/>
      <c r="D2" s="15"/>
      <c r="E2" s="15"/>
      <c r="F2" s="15"/>
    </row>
    <row r="3" spans="1:6" ht="15" customHeight="1" x14ac:dyDescent="0.2">
      <c r="A3" s="14"/>
      <c r="B3" s="14"/>
      <c r="C3" s="15"/>
      <c r="D3" s="15"/>
      <c r="E3" s="15"/>
      <c r="F3" s="15"/>
    </row>
    <row r="4" spans="1:6" ht="12" customHeight="1" x14ac:dyDescent="0.2">
      <c r="A4" s="2"/>
      <c r="B4" s="2"/>
      <c r="C4" s="2"/>
      <c r="D4" s="2"/>
      <c r="E4" s="2"/>
      <c r="F4" s="2"/>
    </row>
    <row r="5" spans="1:6" ht="20.100000000000001" customHeight="1" x14ac:dyDescent="0.25">
      <c r="A5" s="901" t="s">
        <v>79</v>
      </c>
      <c r="B5" s="901"/>
      <c r="C5" s="901"/>
      <c r="D5" s="5"/>
      <c r="E5" s="72"/>
      <c r="F5" s="280" t="e">
        <f>'RT03-F34'!I6</f>
        <v>#N/A</v>
      </c>
    </row>
    <row r="6" spans="1:6" ht="12" customHeight="1" x14ac:dyDescent="0.2">
      <c r="A6" s="7"/>
      <c r="B6" s="5"/>
      <c r="C6" s="5"/>
      <c r="D6" s="5"/>
      <c r="E6" s="5"/>
      <c r="F6" s="5"/>
    </row>
    <row r="7" spans="1:6" ht="15" customHeight="1" x14ac:dyDescent="0.2">
      <c r="A7" s="898" t="s">
        <v>152</v>
      </c>
      <c r="B7" s="898"/>
      <c r="C7" s="903" t="e">
        <f>'RT03-F34'!G6</f>
        <v>#N/A</v>
      </c>
      <c r="D7" s="898"/>
      <c r="E7" s="898"/>
      <c r="F7" s="898"/>
    </row>
    <row r="8" spans="1:6" ht="30" customHeight="1" thickBot="1" x14ac:dyDescent="0.25">
      <c r="A8" s="898" t="s">
        <v>80</v>
      </c>
      <c r="B8" s="898"/>
      <c r="C8" s="903" t="e">
        <f>'RT03-F34'!H6</f>
        <v>#N/A</v>
      </c>
      <c r="D8" s="898"/>
      <c r="E8" s="898"/>
      <c r="F8" s="898"/>
    </row>
    <row r="9" spans="1:6" ht="15" customHeight="1" x14ac:dyDescent="0.2">
      <c r="A9" s="898" t="s">
        <v>81</v>
      </c>
      <c r="B9" s="898"/>
      <c r="C9" s="903" t="e">
        <f>'RT03-F34'!B6</f>
        <v>#N/A</v>
      </c>
      <c r="D9" s="898"/>
      <c r="E9" s="925" t="s">
        <v>432</v>
      </c>
      <c r="F9" s="926"/>
    </row>
    <row r="10" spans="1:6" ht="12" customHeight="1" x14ac:dyDescent="0.2">
      <c r="A10" s="904"/>
      <c r="B10" s="904"/>
      <c r="C10" s="9"/>
      <c r="D10" s="5"/>
      <c r="E10" s="927"/>
      <c r="F10" s="928"/>
    </row>
    <row r="11" spans="1:6" ht="15" customHeight="1" x14ac:dyDescent="0.2">
      <c r="A11" s="898" t="s">
        <v>138</v>
      </c>
      <c r="B11" s="898"/>
      <c r="C11" s="898" t="s">
        <v>137</v>
      </c>
      <c r="D11" s="898"/>
      <c r="E11" s="927"/>
      <c r="F11" s="928"/>
    </row>
    <row r="12" spans="1:6" ht="15" customHeight="1" x14ac:dyDescent="0.2">
      <c r="A12" s="898" t="s">
        <v>83</v>
      </c>
      <c r="B12" s="898"/>
      <c r="C12" s="903" t="e">
        <f>'RT03-F34'!D9</f>
        <v>#N/A</v>
      </c>
      <c r="D12" s="898"/>
      <c r="E12" s="927"/>
      <c r="F12" s="928"/>
    </row>
    <row r="13" spans="1:6" ht="15" customHeight="1" x14ac:dyDescent="0.2">
      <c r="A13" s="898" t="s">
        <v>9</v>
      </c>
      <c r="B13" s="898"/>
      <c r="C13" s="899" t="e">
        <f>'RT03-F34'!D10</f>
        <v>#N/A</v>
      </c>
      <c r="D13" s="898"/>
      <c r="E13" s="927"/>
      <c r="F13" s="928"/>
    </row>
    <row r="14" spans="1:6" ht="15" customHeight="1" x14ac:dyDescent="0.2">
      <c r="A14" s="898" t="s">
        <v>84</v>
      </c>
      <c r="B14" s="898"/>
      <c r="C14" s="83" t="e">
        <f>'RT03-F34'!D11</f>
        <v>#N/A</v>
      </c>
      <c r="D14" s="5"/>
      <c r="E14" s="927"/>
      <c r="F14" s="928"/>
    </row>
    <row r="15" spans="1:6" ht="18.75" customHeight="1" thickBot="1" x14ac:dyDescent="0.25">
      <c r="A15" s="40"/>
      <c r="B15" s="40"/>
      <c r="C15" s="40"/>
      <c r="D15" s="33"/>
      <c r="E15" s="929"/>
      <c r="F15" s="930"/>
    </row>
    <row r="16" spans="1:6" ht="12" customHeight="1" x14ac:dyDescent="0.2">
      <c r="A16" s="898" t="s">
        <v>82</v>
      </c>
      <c r="B16" s="898"/>
      <c r="C16" s="41" t="e">
        <f>'RT03-F34'!C6</f>
        <v>#N/A</v>
      </c>
      <c r="D16" s="902" t="s">
        <v>433</v>
      </c>
      <c r="E16" s="902"/>
      <c r="F16" s="41" t="e">
        <f>'RT03-F34'!F6</f>
        <v>#N/A</v>
      </c>
    </row>
    <row r="17" spans="1:6" ht="15" customHeight="1" x14ac:dyDescent="0.2">
      <c r="A17" s="40"/>
      <c r="B17" s="40"/>
      <c r="C17" s="41"/>
      <c r="D17" s="40"/>
      <c r="E17" s="40"/>
      <c r="F17" s="41"/>
    </row>
    <row r="18" spans="1:6" ht="20.100000000000001" customHeight="1" x14ac:dyDescent="0.2">
      <c r="A18" s="905" t="s">
        <v>136</v>
      </c>
      <c r="B18" s="905"/>
      <c r="C18" s="905"/>
      <c r="D18" s="33"/>
      <c r="E18" s="33"/>
      <c r="F18" s="33"/>
    </row>
    <row r="19" spans="1:6" ht="12" customHeight="1" x14ac:dyDescent="0.2">
      <c r="A19" s="36"/>
      <c r="B19" s="36"/>
      <c r="C19" s="36"/>
      <c r="D19" s="33"/>
      <c r="E19" s="33"/>
      <c r="F19" s="33"/>
    </row>
    <row r="20" spans="1:6" ht="15" customHeight="1" x14ac:dyDescent="0.2">
      <c r="A20" s="898" t="s">
        <v>132</v>
      </c>
      <c r="B20" s="898"/>
      <c r="C20" s="84" t="e">
        <f>'RT03-F34'!D12</f>
        <v>#N/A</v>
      </c>
      <c r="D20" s="40" t="s">
        <v>90</v>
      </c>
      <c r="E20" s="40"/>
      <c r="F20" s="40"/>
    </row>
    <row r="21" spans="1:6" ht="15" customHeight="1" x14ac:dyDescent="0.2">
      <c r="A21" s="898" t="s">
        <v>133</v>
      </c>
      <c r="B21" s="898"/>
      <c r="C21" s="84" t="e">
        <f>'RT03-F34'!D13</f>
        <v>#N/A</v>
      </c>
      <c r="D21" s="40" t="s">
        <v>90</v>
      </c>
      <c r="E21" s="40"/>
      <c r="F21" s="40"/>
    </row>
    <row r="22" spans="1:6" ht="15" customHeight="1" x14ac:dyDescent="0.2">
      <c r="A22" s="898" t="s">
        <v>134</v>
      </c>
      <c r="B22" s="898"/>
      <c r="C22" s="83" t="e">
        <f>'RT03-F34'!D14</f>
        <v>#N/A</v>
      </c>
      <c r="D22" s="40" t="s">
        <v>90</v>
      </c>
      <c r="E22" s="40"/>
      <c r="F22" s="40"/>
    </row>
    <row r="23" spans="1:6" ht="15" customHeight="1" x14ac:dyDescent="0.2">
      <c r="A23" s="898" t="s">
        <v>135</v>
      </c>
      <c r="B23" s="898"/>
      <c r="C23" s="84" t="e">
        <f>'RT03-F34'!D15</f>
        <v>#N/A</v>
      </c>
      <c r="D23" s="40" t="s">
        <v>90</v>
      </c>
      <c r="E23" s="40"/>
      <c r="F23" s="40"/>
    </row>
    <row r="25" spans="1:6" ht="20.100000000000001" customHeight="1" x14ac:dyDescent="0.2">
      <c r="A25" s="905" t="s">
        <v>361</v>
      </c>
      <c r="B25" s="905"/>
      <c r="C25" s="10" t="e">
        <f>'RT03-F34'!D6</f>
        <v>#N/A</v>
      </c>
      <c r="D25" s="8"/>
      <c r="E25" s="8"/>
      <c r="F25" s="5"/>
    </row>
    <row r="26" spans="1:6" ht="12" customHeight="1" x14ac:dyDescent="0.2">
      <c r="A26" s="11"/>
      <c r="B26" s="11"/>
      <c r="C26" s="11"/>
    </row>
    <row r="27" spans="1:6" ht="20.100000000000001" customHeight="1" x14ac:dyDescent="0.2">
      <c r="A27" s="905" t="s">
        <v>160</v>
      </c>
      <c r="B27" s="905"/>
      <c r="C27" s="905"/>
      <c r="D27" s="905"/>
      <c r="E27" s="905"/>
      <c r="F27" s="905"/>
    </row>
    <row r="28" spans="1:6" ht="12" customHeight="1" x14ac:dyDescent="0.2">
      <c r="D28" s="12"/>
      <c r="E28" s="5"/>
      <c r="F28" s="5"/>
    </row>
    <row r="29" spans="1:6" ht="20.100000000000001" customHeight="1" x14ac:dyDescent="0.2">
      <c r="A29" s="905" t="s">
        <v>352</v>
      </c>
      <c r="B29" s="905"/>
      <c r="C29" s="905"/>
      <c r="D29" s="12"/>
      <c r="E29" s="5"/>
      <c r="F29" s="5"/>
    </row>
    <row r="30" spans="1:6" ht="12" customHeight="1" x14ac:dyDescent="0.2">
      <c r="A30" s="36"/>
      <c r="B30" s="36"/>
      <c r="C30" s="36"/>
      <c r="D30" s="12"/>
      <c r="E30" s="33"/>
      <c r="F30" s="33"/>
    </row>
    <row r="31" spans="1:6" ht="15" customHeight="1" x14ac:dyDescent="0.2">
      <c r="A31" s="898" t="s">
        <v>353</v>
      </c>
      <c r="B31" s="898"/>
      <c r="C31" s="898"/>
      <c r="D31" s="898"/>
      <c r="E31" s="898"/>
      <c r="F31" s="898"/>
    </row>
    <row r="32" spans="1:6" ht="12" customHeight="1" x14ac:dyDescent="0.2">
      <c r="A32" s="11"/>
      <c r="B32" s="11"/>
      <c r="C32" s="11"/>
      <c r="D32" s="11"/>
      <c r="E32" s="11"/>
      <c r="F32" s="11"/>
    </row>
    <row r="33" spans="1:6" ht="20.100000000000001" customHeight="1" x14ac:dyDescent="0.2">
      <c r="A33" s="910" t="s">
        <v>354</v>
      </c>
      <c r="B33" s="910"/>
      <c r="C33" s="910"/>
      <c r="D33" s="910"/>
      <c r="E33" s="11"/>
      <c r="F33" s="11"/>
    </row>
    <row r="34" spans="1:6" ht="12" customHeight="1" x14ac:dyDescent="0.2">
      <c r="A34" s="37"/>
      <c r="B34" s="37"/>
      <c r="C34" s="37"/>
      <c r="D34" s="37"/>
      <c r="E34" s="11"/>
      <c r="F34" s="11"/>
    </row>
    <row r="35" spans="1:6" ht="15" customHeight="1" x14ac:dyDescent="0.2">
      <c r="A35" s="920" t="s">
        <v>434</v>
      </c>
      <c r="B35" s="920"/>
      <c r="C35" s="920"/>
      <c r="D35" s="920"/>
      <c r="E35" s="920"/>
      <c r="F35" s="920"/>
    </row>
    <row r="36" spans="1:6" ht="15" customHeight="1" x14ac:dyDescent="0.2">
      <c r="A36" s="920"/>
      <c r="B36" s="920"/>
      <c r="C36" s="920"/>
      <c r="D36" s="920"/>
      <c r="E36" s="920"/>
      <c r="F36" s="920"/>
    </row>
    <row r="37" spans="1:6" ht="15" customHeight="1" x14ac:dyDescent="0.2">
      <c r="A37" s="920"/>
      <c r="B37" s="920"/>
      <c r="C37" s="920"/>
      <c r="D37" s="920"/>
      <c r="E37" s="920"/>
      <c r="F37" s="920"/>
    </row>
    <row r="38" spans="1:6" ht="15" customHeight="1" x14ac:dyDescent="0.2">
      <c r="A38" s="920"/>
      <c r="B38" s="920"/>
      <c r="C38" s="920"/>
      <c r="D38" s="920"/>
      <c r="E38" s="920"/>
      <c r="F38" s="920"/>
    </row>
    <row r="39" spans="1:6" ht="12" customHeight="1" x14ac:dyDescent="0.2"/>
    <row r="40" spans="1:6" ht="15" customHeight="1" x14ac:dyDescent="0.2">
      <c r="A40" s="910" t="s">
        <v>157</v>
      </c>
      <c r="B40" s="910"/>
      <c r="C40" s="909" t="s">
        <v>130</v>
      </c>
      <c r="D40" s="909"/>
      <c r="E40" s="909"/>
      <c r="F40" s="909"/>
    </row>
    <row r="41" spans="1:6" ht="15" customHeight="1" x14ac:dyDescent="0.2">
      <c r="A41" s="910"/>
      <c r="B41" s="910"/>
      <c r="C41" s="909"/>
      <c r="D41" s="909"/>
      <c r="E41" s="909"/>
      <c r="F41" s="909"/>
    </row>
    <row r="42" spans="1:6" ht="15" customHeight="1" x14ac:dyDescent="0.2">
      <c r="A42" s="918" t="s">
        <v>153</v>
      </c>
      <c r="B42" s="918"/>
      <c r="C42" s="909" t="s">
        <v>131</v>
      </c>
      <c r="D42" s="909"/>
      <c r="E42" s="909"/>
      <c r="F42" s="909"/>
    </row>
    <row r="43" spans="1:6" ht="15" customHeight="1" x14ac:dyDescent="0.2">
      <c r="A43" s="918"/>
      <c r="B43" s="918"/>
      <c r="C43" s="909"/>
      <c r="D43" s="909"/>
      <c r="E43" s="909"/>
      <c r="F43" s="909"/>
    </row>
    <row r="44" spans="1:6" ht="15" customHeight="1" x14ac:dyDescent="0.2">
      <c r="A44" s="918" t="s">
        <v>154</v>
      </c>
      <c r="B44" s="918"/>
      <c r="C44" s="909" t="s">
        <v>175</v>
      </c>
      <c r="D44" s="909"/>
      <c r="E44" s="909"/>
      <c r="F44" s="909"/>
    </row>
    <row r="45" spans="1:6" ht="15" customHeight="1" x14ac:dyDescent="0.2">
      <c r="A45" s="918"/>
      <c r="B45" s="918"/>
      <c r="C45" s="909"/>
      <c r="D45" s="909"/>
      <c r="E45" s="909"/>
      <c r="F45" s="909"/>
    </row>
    <row r="46" spans="1:6" ht="12" customHeight="1" x14ac:dyDescent="0.2">
      <c r="A46" s="12"/>
      <c r="B46" s="12"/>
      <c r="C46" s="12"/>
      <c r="D46" s="12"/>
      <c r="E46" s="12"/>
      <c r="F46" s="12"/>
    </row>
    <row r="47" spans="1:6" ht="30" customHeight="1" x14ac:dyDescent="0.2">
      <c r="A47" s="12"/>
      <c r="B47" s="12"/>
      <c r="C47" s="12"/>
      <c r="D47" s="12"/>
      <c r="E47" s="12"/>
      <c r="F47" s="18" t="e">
        <f>F5</f>
        <v>#N/A</v>
      </c>
    </row>
    <row r="48" spans="1:6" ht="22.5" customHeight="1" x14ac:dyDescent="0.2">
      <c r="A48" s="910" t="s">
        <v>355</v>
      </c>
      <c r="B48" s="910"/>
      <c r="C48" s="910"/>
      <c r="D48" s="899"/>
      <c r="E48" s="899"/>
      <c r="F48" s="899"/>
    </row>
    <row r="49" spans="1:6" ht="27" customHeight="1" x14ac:dyDescent="0.2">
      <c r="A49" s="911" t="e">
        <f>'RT03-F34'!B6</f>
        <v>#N/A</v>
      </c>
      <c r="B49" s="912"/>
      <c r="C49" s="66"/>
      <c r="D49" s="900"/>
      <c r="E49" s="900"/>
      <c r="F49" s="900"/>
    </row>
    <row r="50" spans="1:6" ht="15" customHeight="1" x14ac:dyDescent="0.2">
      <c r="A50" s="17"/>
      <c r="B50" s="18"/>
      <c r="C50" s="12"/>
      <c r="D50" s="5"/>
      <c r="E50" s="5"/>
      <c r="F50" s="5"/>
    </row>
    <row r="51" spans="1:6" ht="20.100000000000001" customHeight="1" x14ac:dyDescent="0.2">
      <c r="A51" s="910" t="s">
        <v>142</v>
      </c>
      <c r="B51" s="910"/>
      <c r="C51" s="42" t="s">
        <v>139</v>
      </c>
      <c r="D51" s="43"/>
      <c r="F51" s="5"/>
    </row>
    <row r="52" spans="1:6" ht="15" customHeight="1" x14ac:dyDescent="0.2">
      <c r="C52" s="5"/>
      <c r="D52" s="5"/>
      <c r="E52" s="5"/>
      <c r="F52" s="5"/>
    </row>
    <row r="53" spans="1:6" ht="20.100000000000001" customHeight="1" x14ac:dyDescent="0.2">
      <c r="A53" s="905" t="s">
        <v>435</v>
      </c>
      <c r="B53" s="905"/>
      <c r="C53" s="931"/>
      <c r="D53" s="5"/>
      <c r="E53" s="5"/>
      <c r="F53" s="5"/>
    </row>
    <row r="54" spans="1:6" ht="15" customHeight="1" thickBot="1" x14ac:dyDescent="0.25">
      <c r="A54" s="19"/>
      <c r="B54" s="19"/>
      <c r="C54" s="19"/>
      <c r="D54" s="5"/>
      <c r="E54" s="5"/>
      <c r="F54" s="5"/>
    </row>
    <row r="55" spans="1:6" ht="24.95" customHeight="1" thickBot="1" x14ac:dyDescent="0.25">
      <c r="A55" s="44" t="s">
        <v>85</v>
      </c>
      <c r="B55" s="45" t="s">
        <v>86</v>
      </c>
      <c r="C55" s="45" t="s">
        <v>87</v>
      </c>
      <c r="D55" s="5"/>
      <c r="E55" s="5"/>
      <c r="F55" s="5"/>
    </row>
    <row r="56" spans="1:6" ht="20.100000000000001" customHeight="1" thickBot="1" x14ac:dyDescent="0.25">
      <c r="A56" s="75">
        <f>'RT03-F34'!E64</f>
        <v>0</v>
      </c>
      <c r="B56" s="76">
        <f>'RT03-F34'!G64</f>
        <v>-7.5</v>
      </c>
      <c r="C56" s="76">
        <f>'RT03-F34'!I64</f>
        <v>-1.9934000000000001</v>
      </c>
      <c r="D56" s="5"/>
      <c r="E56" s="5"/>
      <c r="F56" s="5"/>
    </row>
    <row r="57" spans="1:6" ht="15" customHeight="1" x14ac:dyDescent="0.2">
      <c r="A57" s="919" t="s">
        <v>147</v>
      </c>
      <c r="B57" s="919"/>
      <c r="C57" s="919"/>
      <c r="D57" s="919"/>
      <c r="E57" s="919"/>
      <c r="F57" s="919"/>
    </row>
    <row r="58" spans="1:6" ht="15" customHeight="1" x14ac:dyDescent="0.2">
      <c r="A58" s="19"/>
      <c r="B58" s="19"/>
      <c r="C58" s="19"/>
      <c r="D58" s="5"/>
      <c r="E58" s="5"/>
      <c r="F58" s="5"/>
    </row>
    <row r="59" spans="1:6" ht="20.100000000000001" customHeight="1" x14ac:dyDescent="0.2">
      <c r="A59" s="910" t="s">
        <v>356</v>
      </c>
      <c r="B59" s="910"/>
      <c r="C59" s="910"/>
      <c r="D59" s="910"/>
      <c r="E59" s="19"/>
      <c r="F59" s="19"/>
    </row>
    <row r="60" spans="1:6" ht="12" customHeight="1" thickBot="1" x14ac:dyDescent="0.25">
      <c r="A60" s="37"/>
      <c r="B60" s="37"/>
      <c r="C60" s="37"/>
      <c r="D60" s="37"/>
      <c r="E60" s="20"/>
      <c r="F60" s="20"/>
    </row>
    <row r="61" spans="1:6" ht="15" customHeight="1" thickBot="1" x14ac:dyDescent="0.25">
      <c r="A61" s="947" t="s">
        <v>162</v>
      </c>
      <c r="B61" s="948"/>
      <c r="C61" s="67" t="e">
        <f>'RT03-F34'!I12</f>
        <v>#N/A</v>
      </c>
      <c r="D61" s="5"/>
      <c r="E61" s="5"/>
      <c r="F61" s="5"/>
    </row>
    <row r="62" spans="1:6" ht="15" customHeight="1" thickBot="1" x14ac:dyDescent="0.25">
      <c r="A62" s="949" t="s">
        <v>88</v>
      </c>
      <c r="B62" s="950"/>
      <c r="C62" s="69" t="e">
        <f>'RT03-F34'!I13</f>
        <v>#N/A</v>
      </c>
      <c r="D62" s="5"/>
      <c r="E62" s="5"/>
      <c r="F62" s="5"/>
    </row>
    <row r="63" spans="1:6" ht="15" customHeight="1" thickBot="1" x14ac:dyDescent="0.25">
      <c r="A63" s="945" t="s">
        <v>161</v>
      </c>
      <c r="B63" s="946"/>
      <c r="C63" s="68" t="e">
        <f>'RT03-F34'!I14</f>
        <v>#N/A</v>
      </c>
      <c r="D63" s="5"/>
      <c r="E63" s="5"/>
      <c r="F63" s="5"/>
    </row>
    <row r="64" spans="1:6" ht="15" customHeight="1" x14ac:dyDescent="0.2">
      <c r="A64" s="11"/>
      <c r="B64" s="34"/>
      <c r="C64" s="5"/>
      <c r="D64" s="5"/>
      <c r="E64" s="5"/>
      <c r="F64" s="5"/>
    </row>
    <row r="65" spans="1:6" ht="20.100000000000001" customHeight="1" x14ac:dyDescent="0.2">
      <c r="A65" s="910" t="s">
        <v>140</v>
      </c>
      <c r="B65" s="910"/>
      <c r="C65" s="910"/>
      <c r="D65" s="910"/>
      <c r="E65" s="19"/>
      <c r="F65" s="19"/>
    </row>
    <row r="66" spans="1:6" ht="12" customHeight="1" x14ac:dyDescent="0.2">
      <c r="A66" s="37"/>
      <c r="B66" s="37"/>
      <c r="C66" s="37"/>
      <c r="D66" s="37"/>
      <c r="E66" s="20"/>
      <c r="F66" s="20"/>
    </row>
    <row r="67" spans="1:6" ht="15" customHeight="1" x14ac:dyDescent="0.2">
      <c r="A67" s="936" t="s">
        <v>92</v>
      </c>
      <c r="B67" s="936"/>
      <c r="D67" s="19"/>
      <c r="E67" s="19"/>
      <c r="F67" s="19"/>
    </row>
    <row r="68" spans="1:6" ht="15" customHeight="1" thickBot="1" x14ac:dyDescent="0.25">
      <c r="A68" s="19"/>
      <c r="B68" s="19"/>
      <c r="C68" s="19"/>
      <c r="D68" s="5"/>
      <c r="E68" s="5"/>
      <c r="F68" s="5"/>
    </row>
    <row r="69" spans="1:6" ht="15" customHeight="1" thickBot="1" x14ac:dyDescent="0.25">
      <c r="A69" s="941" t="s">
        <v>89</v>
      </c>
      <c r="B69" s="942"/>
      <c r="C69" s="943"/>
      <c r="D69" s="19"/>
      <c r="E69" s="19"/>
      <c r="F69" s="19"/>
    </row>
    <row r="70" spans="1:6" ht="15" customHeight="1" thickBot="1" x14ac:dyDescent="0.25">
      <c r="A70" s="46" t="str">
        <f>'RT03-F34'!C34</f>
        <v>Carga</v>
      </c>
      <c r="B70" s="47">
        <f>'RT03-F34'!E34</f>
        <v>0</v>
      </c>
      <c r="C70" s="48" t="str">
        <f>'RT03-F34'!D34</f>
        <v>(g)</v>
      </c>
      <c r="D70" s="19"/>
      <c r="E70" s="55" t="s">
        <v>91</v>
      </c>
      <c r="F70" s="19"/>
    </row>
    <row r="71" spans="1:6" ht="15" customHeight="1" thickBot="1" x14ac:dyDescent="0.25">
      <c r="A71" s="46" t="str">
        <f>'RT03-F34'!B35</f>
        <v>Posición</v>
      </c>
      <c r="B71" s="48" t="str">
        <f>'RT03-F34'!B36</f>
        <v>Indicación (g)</v>
      </c>
      <c r="C71" s="49" t="s">
        <v>176</v>
      </c>
      <c r="D71" s="19"/>
      <c r="E71" s="19"/>
      <c r="F71" s="19"/>
    </row>
    <row r="72" spans="1:6" ht="20.100000000000001" customHeight="1" x14ac:dyDescent="0.2">
      <c r="A72" s="50">
        <f>'RT03-F34'!C35</f>
        <v>1</v>
      </c>
      <c r="B72" s="73">
        <f>'RT03-F34'!C36</f>
        <v>0</v>
      </c>
      <c r="C72" s="74">
        <f>'RT03-F34'!C37</f>
        <v>0</v>
      </c>
      <c r="D72" s="19"/>
      <c r="F72" s="19"/>
    </row>
    <row r="73" spans="1:6" ht="20.100000000000001" customHeight="1" x14ac:dyDescent="0.2">
      <c r="A73" s="50">
        <f>'RT03-F34'!D35</f>
        <v>2</v>
      </c>
      <c r="B73" s="51">
        <f>'RT03-F34'!D36</f>
        <v>0</v>
      </c>
      <c r="C73" s="51">
        <f>'RT03-F34'!D37</f>
        <v>0</v>
      </c>
      <c r="D73" s="19"/>
      <c r="E73" s="19"/>
      <c r="F73" s="19"/>
    </row>
    <row r="74" spans="1:6" ht="20.100000000000001" customHeight="1" x14ac:dyDescent="0.2">
      <c r="A74" s="52">
        <f>'RT03-F34'!E35</f>
        <v>3</v>
      </c>
      <c r="B74" s="51">
        <f>'RT03-F34'!E36</f>
        <v>0</v>
      </c>
      <c r="C74" s="51">
        <f>'RT03-F34'!E37</f>
        <v>0</v>
      </c>
      <c r="D74" s="19"/>
      <c r="E74" s="19"/>
      <c r="F74" s="19"/>
    </row>
    <row r="75" spans="1:6" ht="20.100000000000001" customHeight="1" x14ac:dyDescent="0.2">
      <c r="A75" s="52">
        <f>'RT03-F34'!F35</f>
        <v>4</v>
      </c>
      <c r="B75" s="51">
        <f>'RT03-F34'!F36</f>
        <v>0</v>
      </c>
      <c r="C75" s="51">
        <f>'RT03-F34'!F37</f>
        <v>0</v>
      </c>
      <c r="D75" s="19"/>
      <c r="E75" s="19"/>
      <c r="F75" s="19"/>
    </row>
    <row r="76" spans="1:6" ht="20.100000000000001" customHeight="1" x14ac:dyDescent="0.2">
      <c r="A76" s="52">
        <f>'RT03-F34'!G35</f>
        <v>5</v>
      </c>
      <c r="B76" s="51">
        <f>'RT03-F34'!G36</f>
        <v>0</v>
      </c>
      <c r="C76" s="51">
        <f>'RT03-F34'!G37</f>
        <v>0</v>
      </c>
      <c r="D76" s="19"/>
      <c r="E76" s="19"/>
      <c r="F76" s="19"/>
    </row>
    <row r="77" spans="1:6" ht="20.100000000000001" customHeight="1" x14ac:dyDescent="0.2">
      <c r="A77" s="53" t="str">
        <f>'[5]PRUEBAS DE CALIBRACION'!F18</f>
        <v>DIF MAX EXC</v>
      </c>
      <c r="B77" s="51">
        <f>'RT03-F34'!C39</f>
        <v>0</v>
      </c>
      <c r="C77" s="54" t="s">
        <v>141</v>
      </c>
      <c r="D77" s="19"/>
      <c r="E77" s="19"/>
      <c r="F77" s="19"/>
    </row>
    <row r="78" spans="1:6" ht="15" customHeight="1" x14ac:dyDescent="0.2">
      <c r="A78" s="12"/>
      <c r="B78" s="21"/>
      <c r="C78" s="18"/>
      <c r="D78" s="20"/>
      <c r="E78" s="20"/>
      <c r="F78" s="20"/>
    </row>
    <row r="79" spans="1:6" ht="15" customHeight="1" x14ac:dyDescent="0.2">
      <c r="A79" s="913" t="s">
        <v>151</v>
      </c>
      <c r="B79" s="913"/>
      <c r="C79" s="913"/>
      <c r="D79" s="913"/>
      <c r="E79" s="913"/>
      <c r="F79" s="913"/>
    </row>
    <row r="80" spans="1:6" ht="15" customHeight="1" x14ac:dyDescent="0.2">
      <c r="A80" s="913"/>
      <c r="B80" s="913"/>
      <c r="C80" s="913"/>
      <c r="D80" s="913"/>
      <c r="E80" s="913"/>
      <c r="F80" s="913"/>
    </row>
    <row r="81" spans="1:6" ht="15" customHeight="1" x14ac:dyDescent="0.2">
      <c r="A81" s="913"/>
      <c r="B81" s="913"/>
      <c r="C81" s="913"/>
      <c r="D81" s="913"/>
      <c r="E81" s="913"/>
      <c r="F81" s="913"/>
    </row>
    <row r="82" spans="1:6" ht="15" customHeight="1" x14ac:dyDescent="0.2">
      <c r="A82" s="31"/>
      <c r="B82" s="31"/>
      <c r="C82" s="31"/>
      <c r="D82" s="31"/>
      <c r="E82" s="31"/>
      <c r="F82" s="31"/>
    </row>
    <row r="83" spans="1:6" ht="15" customHeight="1" x14ac:dyDescent="0.2">
      <c r="A83" s="936" t="s">
        <v>95</v>
      </c>
      <c r="B83" s="936"/>
      <c r="E83" s="12"/>
      <c r="F83" s="12"/>
    </row>
    <row r="84" spans="1:6" ht="15" customHeight="1" thickBot="1" x14ac:dyDescent="0.25">
      <c r="E84" s="12"/>
      <c r="F84" s="18" t="e">
        <f>F5</f>
        <v>#N/A</v>
      </c>
    </row>
    <row r="85" spans="1:6" ht="15" customHeight="1" thickBot="1" x14ac:dyDescent="0.25">
      <c r="A85" s="933" t="s">
        <v>143</v>
      </c>
      <c r="B85" s="934"/>
      <c r="C85" s="934"/>
      <c r="D85" s="935"/>
      <c r="E85" s="12"/>
      <c r="F85" s="12"/>
    </row>
    <row r="86" spans="1:6" ht="20.100000000000001" customHeight="1" thickBot="1" x14ac:dyDescent="0.25">
      <c r="A86" s="46" t="str">
        <f>'RT03-F34'!A43</f>
        <v>Cargas (g)</v>
      </c>
      <c r="B86" s="56">
        <f>'RT03-F34'!A44</f>
        <v>0</v>
      </c>
      <c r="C86" s="56">
        <f>'RT03-F34'!A45</f>
        <v>0</v>
      </c>
      <c r="D86" s="56">
        <f>'RT03-F34'!A46</f>
        <v>0</v>
      </c>
      <c r="E86" s="12"/>
      <c r="F86" s="12"/>
    </row>
    <row r="87" spans="1:6" ht="15" customHeight="1" thickBot="1" x14ac:dyDescent="0.25">
      <c r="A87" s="57" t="s">
        <v>93</v>
      </c>
      <c r="B87" s="57" t="s">
        <v>94</v>
      </c>
      <c r="C87" s="57" t="s">
        <v>94</v>
      </c>
      <c r="D87" s="57" t="s">
        <v>94</v>
      </c>
      <c r="E87" s="12"/>
      <c r="F87" s="12"/>
    </row>
    <row r="88" spans="1:6" ht="20.100000000000001" customHeight="1" x14ac:dyDescent="0.2">
      <c r="A88" s="50">
        <f>'RT03-F34'!B43</f>
        <v>1</v>
      </c>
      <c r="B88" s="74">
        <f>'RT03-F34'!B44</f>
        <v>0</v>
      </c>
      <c r="C88" s="74">
        <f>'RT03-F34'!B45</f>
        <v>0</v>
      </c>
      <c r="D88" s="74">
        <f>'RT03-F34'!B46</f>
        <v>0</v>
      </c>
      <c r="E88" s="12"/>
      <c r="F88" s="12"/>
    </row>
    <row r="89" spans="1:6" ht="20.100000000000001" customHeight="1" x14ac:dyDescent="0.2">
      <c r="A89" s="50">
        <f>'RT03-F34'!C43</f>
        <v>2</v>
      </c>
      <c r="B89" s="51">
        <f>'RT03-F34'!C44</f>
        <v>0</v>
      </c>
      <c r="C89" s="51">
        <f>'RT03-F34'!C45</f>
        <v>0</v>
      </c>
      <c r="D89" s="51">
        <f>'RT03-F34'!C46</f>
        <v>0</v>
      </c>
      <c r="E89" s="12"/>
      <c r="F89" s="12"/>
    </row>
    <row r="90" spans="1:6" ht="20.100000000000001" customHeight="1" x14ac:dyDescent="0.2">
      <c r="A90" s="50">
        <f>'RT03-F34'!D43</f>
        <v>3</v>
      </c>
      <c r="B90" s="51">
        <f>'RT03-F34'!D44</f>
        <v>0</v>
      </c>
      <c r="C90" s="51">
        <f>'RT03-F34'!D45</f>
        <v>0</v>
      </c>
      <c r="D90" s="51">
        <f>'RT03-F34'!D46</f>
        <v>0</v>
      </c>
      <c r="E90" s="12"/>
      <c r="F90" s="12"/>
    </row>
    <row r="91" spans="1:6" ht="20.100000000000001" customHeight="1" x14ac:dyDescent="0.2">
      <c r="A91" s="50">
        <f>'RT03-F34'!E43</f>
        <v>4</v>
      </c>
      <c r="B91" s="51">
        <f>'RT03-F34'!E44</f>
        <v>0</v>
      </c>
      <c r="C91" s="51">
        <f>'RT03-F34'!E45</f>
        <v>0</v>
      </c>
      <c r="D91" s="51">
        <f>'RT03-F34'!E46</f>
        <v>0</v>
      </c>
      <c r="E91" s="12"/>
      <c r="F91" s="12"/>
    </row>
    <row r="92" spans="1:6" ht="20.100000000000001" customHeight="1" x14ac:dyDescent="0.2">
      <c r="A92" s="50">
        <f>'RT03-F34'!F43</f>
        <v>5</v>
      </c>
      <c r="B92" s="51">
        <f>'RT03-F34'!F44</f>
        <v>0</v>
      </c>
      <c r="C92" s="51">
        <f>'RT03-F34'!F45</f>
        <v>0</v>
      </c>
      <c r="D92" s="51">
        <f>'RT03-F34'!F46</f>
        <v>0</v>
      </c>
      <c r="E92" s="12"/>
      <c r="F92" s="12"/>
    </row>
    <row r="93" spans="1:6" ht="20.100000000000001" customHeight="1" x14ac:dyDescent="0.2">
      <c r="A93" s="50">
        <f>'RT03-F34'!G43</f>
        <v>6</v>
      </c>
      <c r="B93" s="51">
        <f>'RT03-F34'!G44</f>
        <v>0</v>
      </c>
      <c r="C93" s="51">
        <f>'RT03-F34'!G45</f>
        <v>0</v>
      </c>
      <c r="D93" s="51">
        <f>'RT03-F34'!G46</f>
        <v>0</v>
      </c>
      <c r="E93" s="12"/>
      <c r="F93" s="12"/>
    </row>
    <row r="94" spans="1:6" ht="20.100000000000001" customHeight="1" x14ac:dyDescent="0.2">
      <c r="A94" s="50">
        <f>'RT03-F34'!H43</f>
        <v>7</v>
      </c>
      <c r="B94" s="51">
        <f>'RT03-F34'!H44</f>
        <v>0</v>
      </c>
      <c r="C94" s="51">
        <f>'RT03-F34'!H45</f>
        <v>0</v>
      </c>
      <c r="D94" s="51">
        <f>'RT03-F34'!H46</f>
        <v>0</v>
      </c>
      <c r="E94" s="12"/>
      <c r="F94" s="12"/>
    </row>
    <row r="95" spans="1:6" ht="20.100000000000001" customHeight="1" x14ac:dyDescent="0.2">
      <c r="A95" s="50">
        <f>'RT03-F34'!I43</f>
        <v>8</v>
      </c>
      <c r="B95" s="51">
        <f>'RT03-F34'!I44</f>
        <v>0</v>
      </c>
      <c r="C95" s="51">
        <f>'RT03-F34'!I45</f>
        <v>0</v>
      </c>
      <c r="D95" s="51">
        <f>'RT03-F34'!I46</f>
        <v>0</v>
      </c>
      <c r="E95" s="12"/>
      <c r="F95" s="12"/>
    </row>
    <row r="96" spans="1:6" ht="20.100000000000001" customHeight="1" x14ac:dyDescent="0.2">
      <c r="A96" s="50">
        <f>'RT03-F34'!J43</f>
        <v>9</v>
      </c>
      <c r="B96" s="51">
        <f>'RT03-F34'!J44</f>
        <v>0</v>
      </c>
      <c r="C96" s="51">
        <f>'RT03-F34'!J45</f>
        <v>0</v>
      </c>
      <c r="D96" s="51">
        <f>'RT03-F34'!J46</f>
        <v>0</v>
      </c>
      <c r="E96" s="12"/>
      <c r="F96" s="12"/>
    </row>
    <row r="97" spans="1:6" ht="20.100000000000001" customHeight="1" x14ac:dyDescent="0.2">
      <c r="A97" s="50">
        <f>'RT03-F34'!K43</f>
        <v>10</v>
      </c>
      <c r="B97" s="51">
        <f>'RT03-F34'!K44</f>
        <v>0</v>
      </c>
      <c r="C97" s="51">
        <f>'RT03-F34'!K45</f>
        <v>0</v>
      </c>
      <c r="D97" s="51">
        <f>'RT03-F34'!K46</f>
        <v>0</v>
      </c>
      <c r="E97" s="19"/>
      <c r="F97" s="19"/>
    </row>
    <row r="98" spans="1:6" ht="15" customHeight="1" x14ac:dyDescent="0.2">
      <c r="A98" s="5"/>
      <c r="B98" s="5"/>
      <c r="C98" s="5"/>
      <c r="D98" s="19"/>
      <c r="E98" s="19"/>
      <c r="F98" s="19"/>
    </row>
    <row r="99" spans="1:6" ht="15" customHeight="1" x14ac:dyDescent="0.2">
      <c r="A99" s="944" t="s">
        <v>96</v>
      </c>
      <c r="B99" s="944"/>
      <c r="C99" s="944"/>
      <c r="D99" s="944"/>
      <c r="E99" s="944"/>
      <c r="F99" s="944"/>
    </row>
    <row r="100" spans="1:6" ht="15" customHeight="1" x14ac:dyDescent="0.2">
      <c r="A100" s="944"/>
      <c r="B100" s="944"/>
      <c r="C100" s="944"/>
      <c r="D100" s="944"/>
      <c r="E100" s="944"/>
      <c r="F100" s="944"/>
    </row>
    <row r="101" spans="1:6" ht="15" customHeight="1" x14ac:dyDescent="0.2">
      <c r="A101" s="944"/>
      <c r="B101" s="944"/>
      <c r="C101" s="944"/>
      <c r="D101" s="944"/>
      <c r="E101" s="944"/>
      <c r="F101" s="944"/>
    </row>
    <row r="102" spans="1:6" ht="15" customHeight="1" x14ac:dyDescent="0.2">
      <c r="A102" s="944"/>
      <c r="B102" s="944"/>
      <c r="C102" s="944"/>
      <c r="D102" s="944"/>
      <c r="E102" s="944"/>
      <c r="F102" s="944"/>
    </row>
    <row r="103" spans="1:6" ht="15" customHeight="1" x14ac:dyDescent="0.2">
      <c r="A103" s="5"/>
      <c r="B103" s="5"/>
      <c r="C103" s="5"/>
      <c r="D103" s="19"/>
      <c r="E103" s="19"/>
      <c r="F103" s="19"/>
    </row>
    <row r="104" spans="1:6" ht="15" customHeight="1" x14ac:dyDescent="0.2">
      <c r="A104" s="936" t="s">
        <v>98</v>
      </c>
      <c r="B104" s="936"/>
      <c r="C104" s="936"/>
      <c r="D104" s="936"/>
      <c r="E104" s="5"/>
      <c r="F104" s="5"/>
    </row>
    <row r="105" spans="1:6" ht="15" customHeight="1" thickBot="1" x14ac:dyDescent="0.25">
      <c r="A105" s="5"/>
      <c r="B105" s="5"/>
      <c r="C105" s="5"/>
      <c r="D105" s="19"/>
      <c r="E105" s="19"/>
      <c r="F105" s="19"/>
    </row>
    <row r="106" spans="1:6" ht="15" customHeight="1" thickBot="1" x14ac:dyDescent="0.25">
      <c r="A106" s="937" t="s">
        <v>97</v>
      </c>
      <c r="B106" s="938"/>
      <c r="C106" s="939"/>
      <c r="D106" s="5"/>
      <c r="E106" s="5"/>
      <c r="F106" s="5"/>
    </row>
    <row r="107" spans="1:6" ht="20.100000000000001" customHeight="1" thickBot="1" x14ac:dyDescent="0.25">
      <c r="A107" s="58" t="str">
        <f>'RT03-F34'!B54</f>
        <v>Cargas (g)</v>
      </c>
      <c r="B107" s="516" t="s">
        <v>436</v>
      </c>
      <c r="C107" s="516" t="s">
        <v>437</v>
      </c>
      <c r="D107" s="5"/>
      <c r="E107" s="5"/>
      <c r="F107" s="5"/>
    </row>
    <row r="108" spans="1:6" ht="20.100000000000001" customHeight="1" x14ac:dyDescent="0.2">
      <c r="A108" s="81" t="e">
        <f>'RT03-F34'!B55</f>
        <v>#N/A</v>
      </c>
      <c r="B108" s="518">
        <f>CONVERT(-105.9,"mg","g")</f>
        <v>-0.10590000000000001</v>
      </c>
      <c r="C108" s="50" t="e">
        <f>'RT03-F34'!F103</f>
        <v>#DIV/0!</v>
      </c>
      <c r="D108" s="5"/>
      <c r="E108" s="5"/>
      <c r="F108" s="5"/>
    </row>
    <row r="109" spans="1:6" ht="20.100000000000001" customHeight="1" x14ac:dyDescent="0.2">
      <c r="A109" s="80" t="e">
        <f>'RT03-F34'!B56</f>
        <v>#N/A</v>
      </c>
      <c r="B109" s="54" t="e">
        <f>'RT03-F34'!L56</f>
        <v>#DIV/0!</v>
      </c>
      <c r="C109" s="50" t="e">
        <f>'RT03-F34'!G103</f>
        <v>#DIV/0!</v>
      </c>
      <c r="D109" s="5"/>
      <c r="E109" s="5"/>
      <c r="F109" s="5"/>
    </row>
    <row r="110" spans="1:6" ht="20.100000000000001" customHeight="1" x14ac:dyDescent="0.2">
      <c r="A110" s="79" t="e">
        <f>'RT03-F34'!B57</f>
        <v>#N/A</v>
      </c>
      <c r="B110" s="51" t="e">
        <f>'RT03-F34'!L57</f>
        <v>#DIV/0!</v>
      </c>
      <c r="C110" s="50" t="e">
        <f>'RT03-F34'!H103</f>
        <v>#DIV/0!</v>
      </c>
      <c r="D110" s="5"/>
      <c r="E110" s="5"/>
      <c r="F110" s="5"/>
    </row>
    <row r="111" spans="1:6" ht="20.100000000000001" customHeight="1" x14ac:dyDescent="0.2">
      <c r="A111" s="80" t="e">
        <f>'RT03-F34'!B58</f>
        <v>#N/A</v>
      </c>
      <c r="B111" s="54" t="e">
        <f>'RT03-F34'!L58</f>
        <v>#DIV/0!</v>
      </c>
      <c r="C111" s="50" t="e">
        <f>'RT03-F34'!I103</f>
        <v>#DIV/0!</v>
      </c>
      <c r="D111" s="5"/>
      <c r="E111" s="5"/>
      <c r="F111" s="5"/>
    </row>
    <row r="112" spans="1:6" ht="20.100000000000001" customHeight="1" x14ac:dyDescent="0.2">
      <c r="A112" s="79" t="e">
        <f>'RT03-F34'!B59</f>
        <v>#N/A</v>
      </c>
      <c r="B112" s="54" t="e">
        <f>'RT03-F34'!L59</f>
        <v>#DIV/0!</v>
      </c>
      <c r="C112" s="50" t="e">
        <f>'RT03-F34'!J103</f>
        <v>#DIV/0!</v>
      </c>
      <c r="D112" s="5"/>
      <c r="E112" s="5"/>
      <c r="F112" s="5"/>
    </row>
    <row r="113" spans="1:6" ht="15" customHeight="1" x14ac:dyDescent="0.2">
      <c r="A113" s="22"/>
      <c r="B113" s="22"/>
      <c r="C113" s="22"/>
      <c r="D113" s="5"/>
      <c r="E113" s="5"/>
      <c r="F113" s="22"/>
    </row>
    <row r="114" spans="1:6" ht="3" customHeight="1" x14ac:dyDescent="0.2"/>
    <row r="115" spans="1:6" ht="3" customHeight="1" x14ac:dyDescent="0.2"/>
    <row r="116" spans="1:6" ht="16.5" customHeight="1" x14ac:dyDescent="0.2">
      <c r="A116" s="26"/>
      <c r="B116" s="18"/>
      <c r="C116" s="18"/>
      <c r="D116" s="12"/>
      <c r="E116" s="12"/>
      <c r="F116" s="12"/>
    </row>
    <row r="117" spans="1:6" ht="16.5" customHeight="1" x14ac:dyDescent="0.2">
      <c r="A117" s="26"/>
      <c r="B117" s="18"/>
      <c r="C117" s="18"/>
      <c r="D117" s="12"/>
      <c r="E117" s="12"/>
      <c r="F117" s="12"/>
    </row>
    <row r="118" spans="1:6" ht="16.5" customHeight="1" x14ac:dyDescent="0.2">
      <c r="A118" s="26"/>
      <c r="B118" s="18"/>
      <c r="C118" s="18"/>
      <c r="D118" s="12"/>
      <c r="E118" s="12"/>
      <c r="F118" s="12"/>
    </row>
    <row r="119" spans="1:6" ht="16.5" customHeight="1" x14ac:dyDescent="0.2">
      <c r="A119" s="26"/>
      <c r="B119" s="18"/>
      <c r="C119" s="18"/>
      <c r="D119" s="12"/>
      <c r="E119" s="12"/>
      <c r="F119" s="12"/>
    </row>
    <row r="120" spans="1:6" ht="15" customHeight="1" x14ac:dyDescent="0.2">
      <c r="A120" s="22"/>
      <c r="B120" s="18"/>
      <c r="C120" s="18"/>
      <c r="D120" s="5"/>
      <c r="E120" s="5"/>
      <c r="F120" s="5"/>
    </row>
    <row r="121" spans="1:6" ht="30" customHeight="1" x14ac:dyDescent="0.2">
      <c r="A121" s="22"/>
      <c r="B121" s="18"/>
      <c r="C121" s="18"/>
      <c r="D121" s="33"/>
      <c r="E121" s="33"/>
      <c r="F121" s="92" t="e">
        <f>F5</f>
        <v>#N/A</v>
      </c>
    </row>
    <row r="122" spans="1:6" ht="15" customHeight="1" x14ac:dyDescent="0.2">
      <c r="A122" s="22"/>
      <c r="B122" s="18"/>
      <c r="C122" s="18"/>
      <c r="D122" s="5"/>
      <c r="E122" s="5"/>
      <c r="F122" s="5"/>
    </row>
    <row r="123" spans="1:6" ht="15" customHeight="1" x14ac:dyDescent="0.2">
      <c r="A123" s="22"/>
      <c r="B123" s="18"/>
      <c r="C123" s="18"/>
      <c r="D123" s="5"/>
      <c r="E123" s="5"/>
      <c r="F123" s="5"/>
    </row>
    <row r="124" spans="1:6" ht="15" customHeight="1" x14ac:dyDescent="0.2">
      <c r="A124" s="12"/>
      <c r="B124" s="23"/>
      <c r="C124" s="12"/>
      <c r="D124" s="12"/>
      <c r="E124" s="12"/>
      <c r="F124" s="12"/>
    </row>
    <row r="125" spans="1:6" ht="15" customHeight="1" x14ac:dyDescent="0.2">
      <c r="A125" s="12"/>
      <c r="B125" s="12"/>
      <c r="C125" s="12"/>
      <c r="D125" s="12"/>
      <c r="E125" s="12"/>
      <c r="F125" s="12"/>
    </row>
    <row r="126" spans="1:6" ht="15" customHeight="1" x14ac:dyDescent="0.2">
      <c r="A126" s="12"/>
      <c r="B126" s="12"/>
      <c r="C126" s="12"/>
      <c r="D126" s="12"/>
      <c r="E126" s="12"/>
      <c r="F126" s="12"/>
    </row>
    <row r="127" spans="1:6" ht="15" customHeight="1" x14ac:dyDescent="0.2">
      <c r="A127" s="12"/>
      <c r="B127" s="12"/>
      <c r="C127" s="12"/>
      <c r="D127" s="12"/>
      <c r="E127" s="12"/>
      <c r="F127" s="12"/>
    </row>
    <row r="128" spans="1:6" ht="15" customHeight="1" x14ac:dyDescent="0.2">
      <c r="A128" s="12"/>
      <c r="B128" s="12"/>
      <c r="C128" s="12"/>
      <c r="D128" s="12"/>
      <c r="E128" s="12"/>
      <c r="F128" s="12"/>
    </row>
    <row r="129" spans="1:6" ht="15" customHeight="1" x14ac:dyDescent="0.2">
      <c r="A129" s="12"/>
      <c r="B129" s="12"/>
      <c r="C129" s="12"/>
      <c r="D129" s="12"/>
      <c r="E129" s="12"/>
      <c r="F129" s="12"/>
    </row>
    <row r="130" spans="1:6" ht="15" customHeight="1" x14ac:dyDescent="0.2">
      <c r="A130" s="12"/>
      <c r="B130" s="12"/>
      <c r="C130" s="12"/>
      <c r="D130" s="12"/>
      <c r="E130" s="12"/>
      <c r="F130" s="12"/>
    </row>
    <row r="131" spans="1:6" ht="15" customHeight="1" x14ac:dyDescent="0.2">
      <c r="A131" s="12"/>
      <c r="B131" s="12"/>
      <c r="C131" s="12"/>
      <c r="D131" s="12"/>
      <c r="E131" s="12"/>
      <c r="F131" s="12"/>
    </row>
    <row r="132" spans="1:6" ht="15" customHeight="1" x14ac:dyDescent="0.2">
      <c r="A132" s="12"/>
      <c r="B132" s="12"/>
      <c r="C132" s="12"/>
      <c r="D132" s="12"/>
      <c r="E132" s="12"/>
      <c r="F132" s="12"/>
    </row>
    <row r="133" spans="1:6" ht="15" customHeight="1" x14ac:dyDescent="0.2">
      <c r="A133" s="12"/>
      <c r="B133" s="12"/>
      <c r="C133" s="12"/>
      <c r="D133" s="12"/>
      <c r="E133" s="12"/>
      <c r="F133" s="12"/>
    </row>
    <row r="134" spans="1:6" ht="15" customHeight="1" x14ac:dyDescent="0.2">
      <c r="A134" s="12"/>
      <c r="B134" s="12"/>
      <c r="C134" s="12"/>
      <c r="D134" s="12"/>
      <c r="E134" s="12"/>
      <c r="F134" s="12"/>
    </row>
    <row r="135" spans="1:6" ht="15" customHeight="1" x14ac:dyDescent="0.2">
      <c r="A135" s="12"/>
      <c r="B135" s="12"/>
      <c r="C135" s="12"/>
      <c r="D135" s="12"/>
      <c r="E135" s="12"/>
      <c r="F135" s="12"/>
    </row>
    <row r="136" spans="1:6" ht="15" customHeight="1" x14ac:dyDescent="0.2">
      <c r="D136" s="5"/>
      <c r="E136" s="5"/>
      <c r="F136" s="5"/>
    </row>
    <row r="137" spans="1:6" ht="15" customHeight="1" x14ac:dyDescent="0.2">
      <c r="A137" s="5"/>
      <c r="B137" s="5"/>
      <c r="C137" s="5"/>
      <c r="D137" s="5"/>
      <c r="E137" s="5"/>
      <c r="F137" s="5"/>
    </row>
    <row r="138" spans="1:6" ht="15" customHeight="1" x14ac:dyDescent="0.2">
      <c r="A138" s="33"/>
      <c r="B138" s="33"/>
      <c r="C138" s="33"/>
      <c r="D138" s="33"/>
      <c r="E138" s="33"/>
      <c r="F138" s="33"/>
    </row>
    <row r="139" spans="1:6" ht="15" customHeight="1" x14ac:dyDescent="0.2">
      <c r="A139" s="33"/>
      <c r="B139" s="33"/>
      <c r="C139" s="33"/>
      <c r="D139" s="33"/>
      <c r="E139" s="33"/>
      <c r="F139" s="33"/>
    </row>
    <row r="140" spans="1:6" ht="15" customHeight="1" x14ac:dyDescent="0.2">
      <c r="A140" s="940" t="s">
        <v>99</v>
      </c>
      <c r="B140" s="940"/>
      <c r="C140" s="940"/>
      <c r="D140" s="940"/>
      <c r="E140" s="940"/>
      <c r="F140" s="940"/>
    </row>
    <row r="141" spans="1:6" ht="15" customHeight="1" x14ac:dyDescent="0.2">
      <c r="A141" s="940"/>
      <c r="B141" s="940"/>
      <c r="C141" s="940"/>
      <c r="D141" s="940"/>
      <c r="E141" s="940"/>
      <c r="F141" s="940"/>
    </row>
    <row r="142" spans="1:6" ht="12" customHeight="1" x14ac:dyDescent="0.2">
      <c r="A142" s="24"/>
      <c r="B142" s="24"/>
      <c r="C142" s="24"/>
      <c r="D142" s="24"/>
      <c r="E142" s="24"/>
      <c r="F142" s="24"/>
    </row>
    <row r="143" spans="1:6" ht="20.100000000000001" customHeight="1" x14ac:dyDescent="0.2">
      <c r="A143" s="932" t="s">
        <v>180</v>
      </c>
      <c r="B143" s="932"/>
      <c r="C143" s="932"/>
      <c r="D143" s="5"/>
      <c r="E143" s="5"/>
      <c r="F143" s="5"/>
    </row>
    <row r="144" spans="1:6" ht="12" customHeight="1" x14ac:dyDescent="0.2">
      <c r="A144" s="1"/>
      <c r="B144" s="1"/>
      <c r="C144" s="1"/>
      <c r="D144" s="33"/>
      <c r="E144" s="33"/>
      <c r="F144" s="33"/>
    </row>
    <row r="145" spans="1:6" ht="15" customHeight="1" x14ac:dyDescent="0.2">
      <c r="A145" s="917" t="s">
        <v>67</v>
      </c>
      <c r="B145" s="917"/>
      <c r="C145" s="917"/>
      <c r="D145" s="917"/>
      <c r="E145" s="917"/>
      <c r="F145" s="917"/>
    </row>
    <row r="146" spans="1:6" ht="15" customHeight="1" x14ac:dyDescent="0.2">
      <c r="A146" s="4"/>
      <c r="B146" s="4"/>
      <c r="C146" s="4"/>
      <c r="D146" s="4"/>
      <c r="E146" s="4"/>
      <c r="F146" s="4"/>
    </row>
    <row r="147" spans="1:6" ht="15" customHeight="1" x14ac:dyDescent="0.2">
      <c r="A147" s="16"/>
      <c r="B147" s="8" t="str">
        <f>'RT03-F34'!$E$135</f>
        <v>E (R)  (mg) =</v>
      </c>
      <c r="C147" s="38" t="e">
        <f>'RT03-F34'!F135</f>
        <v>#DIV/0!</v>
      </c>
      <c r="D147" s="8" t="s">
        <v>73</v>
      </c>
      <c r="E147" s="16"/>
      <c r="F147" s="16"/>
    </row>
    <row r="148" spans="1:6" ht="15" customHeight="1" x14ac:dyDescent="0.2">
      <c r="A148" s="26"/>
      <c r="E148" s="12"/>
      <c r="F148" s="12"/>
    </row>
    <row r="149" spans="1:6" ht="20.100000000000001" customHeight="1" x14ac:dyDescent="0.2">
      <c r="A149" s="905" t="s">
        <v>144</v>
      </c>
      <c r="B149" s="905"/>
      <c r="C149" s="905"/>
      <c r="D149" s="27" t="s">
        <v>128</v>
      </c>
      <c r="E149" s="60" t="e">
        <f>'RT03-F34'!G118</f>
        <v>#DIV/0!</v>
      </c>
      <c r="F149" s="29" t="s">
        <v>129</v>
      </c>
    </row>
    <row r="150" spans="1:6" ht="15" customHeight="1" x14ac:dyDescent="0.2">
      <c r="A150" s="36"/>
      <c r="B150" s="36"/>
      <c r="C150" s="36"/>
      <c r="D150" s="27"/>
      <c r="E150" s="28"/>
      <c r="F150" s="29"/>
    </row>
    <row r="151" spans="1:6" ht="15" customHeight="1" x14ac:dyDescent="0.2">
      <c r="A151" s="517" t="s">
        <v>437</v>
      </c>
      <c r="B151" s="517">
        <f>CONVERT(211, "mg","g")</f>
        <v>0.21099999999999999</v>
      </c>
      <c r="C151" s="25" t="str">
        <f>[5]RESULTADOS!I23</f>
        <v xml:space="preserve">                + </v>
      </c>
      <c r="D151" s="18" t="str">
        <f>D147</f>
        <v>R (g)</v>
      </c>
      <c r="E151" s="30" t="e">
        <f>'RT03-F34'!H137</f>
        <v>#N/A</v>
      </c>
    </row>
    <row r="152" spans="1:6" ht="15" customHeight="1" x14ac:dyDescent="0.2">
      <c r="A152" s="12"/>
      <c r="B152" s="22"/>
      <c r="C152" s="25"/>
      <c r="D152" s="12"/>
      <c r="E152" s="30"/>
    </row>
    <row r="153" spans="1:6" ht="15" customHeight="1" x14ac:dyDescent="0.2">
      <c r="A153" s="12"/>
      <c r="B153" s="22"/>
      <c r="C153" s="25"/>
      <c r="D153" s="12"/>
      <c r="E153" s="30"/>
    </row>
    <row r="154" spans="1:6" ht="15" customHeight="1" x14ac:dyDescent="0.2">
      <c r="A154" s="906" t="s">
        <v>100</v>
      </c>
      <c r="B154" s="906"/>
      <c r="C154" s="906"/>
      <c r="D154" s="906"/>
      <c r="E154" s="906"/>
      <c r="F154" s="906"/>
    </row>
    <row r="155" spans="1:6" ht="15" customHeight="1" x14ac:dyDescent="0.2">
      <c r="A155" s="906"/>
      <c r="B155" s="906"/>
      <c r="C155" s="906"/>
      <c r="D155" s="906"/>
      <c r="E155" s="906"/>
      <c r="F155" s="906"/>
    </row>
    <row r="156" spans="1:6" ht="15" customHeight="1" x14ac:dyDescent="0.2">
      <c r="A156" s="25"/>
      <c r="B156" s="25"/>
      <c r="C156" s="25"/>
      <c r="D156" s="25"/>
      <c r="E156" s="25"/>
      <c r="F156" s="25"/>
    </row>
    <row r="157" spans="1:6" ht="15" customHeight="1" x14ac:dyDescent="0.2">
      <c r="A157" s="24"/>
      <c r="B157" s="24"/>
      <c r="C157" s="24"/>
      <c r="D157" s="24"/>
      <c r="E157" s="24"/>
      <c r="F157" s="24"/>
    </row>
    <row r="158" spans="1:6" ht="15" customHeight="1" x14ac:dyDescent="0.2">
      <c r="A158" s="31"/>
      <c r="B158" s="31"/>
      <c r="C158" s="31"/>
      <c r="D158" s="31"/>
      <c r="E158" s="31"/>
      <c r="F158" s="31"/>
    </row>
    <row r="159" spans="1:6" ht="15" customHeight="1" x14ac:dyDescent="0.2">
      <c r="A159" s="31"/>
      <c r="B159" s="31"/>
      <c r="C159" s="31"/>
      <c r="D159" s="31"/>
      <c r="E159" s="31"/>
      <c r="F159" s="31"/>
    </row>
    <row r="160" spans="1:6" ht="30" customHeight="1" thickBot="1" x14ac:dyDescent="0.25">
      <c r="A160" s="31"/>
      <c r="B160" s="31"/>
      <c r="C160" s="31"/>
      <c r="D160" s="31"/>
      <c r="E160" s="31"/>
      <c r="F160" s="93" t="e">
        <f>F5</f>
        <v>#N/A</v>
      </c>
    </row>
    <row r="161" spans="1:6" ht="15" customHeight="1" thickBot="1" x14ac:dyDescent="0.25">
      <c r="A161" s="70" t="s">
        <v>101</v>
      </c>
      <c r="B161" s="924" t="s">
        <v>357</v>
      </c>
      <c r="C161" s="898"/>
      <c r="D161" s="898"/>
      <c r="E161" s="23"/>
      <c r="F161" s="11"/>
    </row>
    <row r="162" spans="1:6" ht="15" customHeight="1" thickBot="1" x14ac:dyDescent="0.25">
      <c r="A162" s="71" t="s">
        <v>102</v>
      </c>
      <c r="B162" s="924" t="s">
        <v>103</v>
      </c>
      <c r="C162" s="898"/>
      <c r="D162" s="898"/>
      <c r="E162" s="11"/>
      <c r="F162" s="24"/>
    </row>
    <row r="163" spans="1:6" ht="15" customHeight="1" thickBot="1" x14ac:dyDescent="0.25">
      <c r="A163" s="70" t="s">
        <v>104</v>
      </c>
      <c r="B163" s="924" t="s">
        <v>105</v>
      </c>
      <c r="C163" s="898"/>
      <c r="D163" s="898"/>
      <c r="E163" s="11"/>
      <c r="F163" s="11"/>
    </row>
    <row r="164" spans="1:6" ht="12" customHeight="1" x14ac:dyDescent="0.2">
      <c r="E164" s="11"/>
      <c r="F164" s="11"/>
    </row>
    <row r="165" spans="1:6" ht="20.100000000000001" customHeight="1" x14ac:dyDescent="0.2">
      <c r="A165" s="910" t="s">
        <v>178</v>
      </c>
      <c r="B165" s="910"/>
      <c r="C165" s="910"/>
      <c r="F165" s="11"/>
    </row>
    <row r="166" spans="1:6" ht="12" customHeight="1" x14ac:dyDescent="0.2">
      <c r="D166" s="5"/>
      <c r="E166" s="5"/>
      <c r="F166" s="5"/>
    </row>
    <row r="167" spans="1:6" ht="15" customHeight="1" x14ac:dyDescent="0.2">
      <c r="A167" s="913" t="s">
        <v>155</v>
      </c>
      <c r="B167" s="913"/>
      <c r="C167" s="913"/>
      <c r="D167" s="913"/>
      <c r="E167" s="913"/>
      <c r="F167" s="913"/>
    </row>
    <row r="168" spans="1:6" ht="15" customHeight="1" x14ac:dyDescent="0.2">
      <c r="A168" s="913"/>
      <c r="B168" s="913"/>
      <c r="C168" s="913"/>
      <c r="D168" s="913"/>
      <c r="E168" s="913"/>
      <c r="F168" s="913"/>
    </row>
    <row r="169" spans="1:6" ht="15" customHeight="1" x14ac:dyDescent="0.2">
      <c r="A169" s="913"/>
      <c r="B169" s="913"/>
      <c r="C169" s="913"/>
      <c r="D169" s="913"/>
      <c r="E169" s="913"/>
      <c r="F169" s="913"/>
    </row>
    <row r="170" spans="1:6" ht="15" customHeight="1" x14ac:dyDescent="0.2">
      <c r="A170" s="32"/>
      <c r="B170" s="32"/>
      <c r="C170" s="32"/>
      <c r="D170" s="32"/>
      <c r="E170" s="32"/>
      <c r="F170" s="32"/>
    </row>
    <row r="171" spans="1:6" ht="20.100000000000001" customHeight="1" x14ac:dyDescent="0.2">
      <c r="A171" s="905" t="s">
        <v>145</v>
      </c>
      <c r="B171" s="905"/>
      <c r="C171" s="905"/>
      <c r="D171" s="32"/>
      <c r="E171" s="32"/>
      <c r="F171" s="32"/>
    </row>
    <row r="172" spans="1:6" ht="15" customHeight="1" x14ac:dyDescent="0.2">
      <c r="D172" s="24"/>
      <c r="E172" s="24"/>
      <c r="F172" s="24"/>
    </row>
    <row r="173" spans="1:6" ht="15" customHeight="1" x14ac:dyDescent="0.2">
      <c r="A173" s="906" t="s">
        <v>158</v>
      </c>
      <c r="B173" s="906"/>
      <c r="C173" s="906"/>
      <c r="D173" s="906"/>
      <c r="E173" s="906"/>
      <c r="F173" s="906"/>
    </row>
    <row r="174" spans="1:6" ht="15" customHeight="1" x14ac:dyDescent="0.2">
      <c r="A174" s="906" t="s">
        <v>359</v>
      </c>
      <c r="B174" s="906"/>
      <c r="C174" s="906"/>
      <c r="D174" s="906"/>
      <c r="E174" s="906"/>
      <c r="F174" s="906"/>
    </row>
    <row r="175" spans="1:6" ht="30" customHeight="1" x14ac:dyDescent="0.2">
      <c r="A175" s="916" t="s">
        <v>181</v>
      </c>
      <c r="B175" s="916"/>
      <c r="C175" s="916"/>
      <c r="D175" s="916"/>
      <c r="E175" s="916"/>
      <c r="F175" s="916"/>
    </row>
    <row r="176" spans="1:6" ht="15" customHeight="1" x14ac:dyDescent="0.2">
      <c r="A176" s="906" t="s">
        <v>159</v>
      </c>
      <c r="B176" s="906"/>
      <c r="C176" s="906"/>
      <c r="D176" s="906"/>
      <c r="E176" s="906"/>
      <c r="F176" s="906"/>
    </row>
    <row r="177" spans="1:6" ht="15" customHeight="1" x14ac:dyDescent="0.2">
      <c r="A177" s="906" t="s">
        <v>358</v>
      </c>
      <c r="B177" s="906"/>
      <c r="C177" s="906"/>
      <c r="D177" s="906"/>
      <c r="E177" s="906"/>
      <c r="F177" s="906"/>
    </row>
    <row r="178" spans="1:6" ht="20.100000000000001" customHeight="1" x14ac:dyDescent="0.2">
      <c r="A178" s="908" t="s">
        <v>146</v>
      </c>
      <c r="B178" s="908"/>
      <c r="C178" s="908"/>
      <c r="D178" s="5"/>
      <c r="E178" s="5"/>
      <c r="F178" s="5"/>
    </row>
    <row r="179" spans="1:6" ht="15" customHeight="1" thickBot="1" x14ac:dyDescent="0.25">
      <c r="B179" s="5"/>
      <c r="C179" s="5"/>
      <c r="D179" s="5"/>
      <c r="E179" s="5"/>
      <c r="F179" s="5"/>
    </row>
    <row r="180" spans="1:6" ht="27" customHeight="1" thickBot="1" x14ac:dyDescent="0.25">
      <c r="B180" s="89" t="s">
        <v>17</v>
      </c>
      <c r="C180" s="90" t="s">
        <v>179</v>
      </c>
      <c r="D180" s="91" t="s">
        <v>438</v>
      </c>
      <c r="E180" s="12"/>
      <c r="F180" s="5"/>
    </row>
    <row r="181" spans="1:6" ht="15" customHeight="1" x14ac:dyDescent="0.2">
      <c r="B181" s="86" t="e">
        <f>'RT03-F34'!B55</f>
        <v>#N/A</v>
      </c>
      <c r="C181" s="87">
        <f>'RT03-F34'!C55</f>
        <v>0</v>
      </c>
      <c r="D181" s="88" t="e">
        <f>'RT03-F34'!E55</f>
        <v>#N/A</v>
      </c>
      <c r="E181" s="5"/>
      <c r="F181" s="5"/>
    </row>
    <row r="182" spans="1:6" ht="15" customHeight="1" x14ac:dyDescent="0.2">
      <c r="B182" s="59" t="e">
        <f>'RT03-F34'!B56</f>
        <v>#N/A</v>
      </c>
      <c r="C182" s="78">
        <f>'RT03-F34'!C56</f>
        <v>0</v>
      </c>
      <c r="D182" s="77" t="e">
        <f>'RT03-F34'!E56</f>
        <v>#N/A</v>
      </c>
      <c r="E182" s="5"/>
      <c r="F182" s="5"/>
    </row>
    <row r="183" spans="1:6" ht="15" customHeight="1" x14ac:dyDescent="0.2">
      <c r="B183" s="59" t="e">
        <f>'RT03-F34'!B57</f>
        <v>#N/A</v>
      </c>
      <c r="C183" s="78">
        <f>'RT03-F34'!C57</f>
        <v>0</v>
      </c>
      <c r="D183" s="78" t="e">
        <f>'RT03-F34'!E57</f>
        <v>#N/A</v>
      </c>
      <c r="E183" s="5"/>
      <c r="F183" s="5"/>
    </row>
    <row r="184" spans="1:6" ht="15" customHeight="1" x14ac:dyDescent="0.2">
      <c r="B184" s="59" t="e">
        <f>'RT03-F34'!B58</f>
        <v>#N/A</v>
      </c>
      <c r="C184" s="78">
        <f>'RT03-F34'!C58</f>
        <v>0</v>
      </c>
      <c r="D184" s="78" t="e">
        <f>'RT03-F34'!E58</f>
        <v>#N/A</v>
      </c>
      <c r="E184" s="5"/>
      <c r="F184" s="5"/>
    </row>
    <row r="185" spans="1:6" ht="15" customHeight="1" x14ac:dyDescent="0.2">
      <c r="B185" s="59" t="e">
        <f>'RT03-F34'!B59</f>
        <v>#N/A</v>
      </c>
      <c r="C185" s="78">
        <f>'RT03-F34'!C59</f>
        <v>0</v>
      </c>
      <c r="D185" s="82" t="e">
        <f>'RT03-F34'!E59</f>
        <v>#N/A</v>
      </c>
      <c r="E185" s="5"/>
      <c r="F185" s="5"/>
    </row>
    <row r="186" spans="1:6" ht="15" customHeight="1" x14ac:dyDescent="0.2">
      <c r="B186" s="61"/>
      <c r="C186" s="62"/>
      <c r="D186" s="63"/>
      <c r="E186" s="33"/>
      <c r="F186" s="33"/>
    </row>
    <row r="187" spans="1:6" ht="15" customHeight="1" x14ac:dyDescent="0.2">
      <c r="A187" s="915"/>
      <c r="B187" s="915"/>
      <c r="C187" s="5"/>
      <c r="D187" s="5"/>
      <c r="E187" s="5"/>
      <c r="F187" s="5"/>
    </row>
    <row r="188" spans="1:6" ht="15" customHeight="1" x14ac:dyDescent="0.2">
      <c r="A188" s="64"/>
      <c r="B188" s="64"/>
      <c r="C188" s="65"/>
      <c r="D188" s="33"/>
      <c r="E188" s="33"/>
      <c r="F188" s="33"/>
    </row>
    <row r="189" spans="1:6" ht="20.100000000000001" customHeight="1" x14ac:dyDescent="0.2">
      <c r="A189" s="923" t="s">
        <v>362</v>
      </c>
      <c r="B189" s="923"/>
      <c r="C189" s="279"/>
    </row>
    <row r="190" spans="1:6" ht="15" customHeight="1" x14ac:dyDescent="0.2">
      <c r="B190" s="13"/>
      <c r="C190" s="3"/>
    </row>
    <row r="191" spans="1:6" ht="15" customHeight="1" x14ac:dyDescent="0.2">
      <c r="A191" s="922" t="s">
        <v>106</v>
      </c>
      <c r="B191" s="922"/>
      <c r="C191" s="922"/>
      <c r="D191" s="922" t="s">
        <v>148</v>
      </c>
      <c r="E191" s="922"/>
      <c r="F191" s="922"/>
    </row>
    <row r="192" spans="1:6" ht="15" customHeight="1" x14ac:dyDescent="0.2">
      <c r="A192" s="921" t="s">
        <v>150</v>
      </c>
      <c r="B192" s="921"/>
      <c r="C192" s="85"/>
      <c r="D192" s="921" t="s">
        <v>360</v>
      </c>
      <c r="E192" s="921"/>
      <c r="F192" s="85"/>
    </row>
    <row r="193" spans="1:6" ht="20.25" customHeight="1" x14ac:dyDescent="0.2">
      <c r="A193" s="914" t="e">
        <f>VLOOKUP($C$192,DATOS!$D$155:$H$159,4,FALSE)</f>
        <v>#N/A</v>
      </c>
      <c r="B193" s="914"/>
      <c r="C193" s="914"/>
      <c r="D193" s="914" t="e">
        <f>VLOOKUP($F$192,DATOS!$D$155:$H$159,4,FALSE)</f>
        <v>#N/A</v>
      </c>
      <c r="E193" s="914"/>
      <c r="F193" s="914"/>
    </row>
    <row r="194" spans="1:6" ht="15" customHeight="1" x14ac:dyDescent="0.2">
      <c r="A194" s="914" t="e">
        <f>VLOOKUP($C$192,DATOS!$D$155:$H$159,2,FALSE)</f>
        <v>#N/A</v>
      </c>
      <c r="B194" s="914"/>
      <c r="C194" s="914"/>
      <c r="D194" s="914" t="e">
        <f>VLOOKUP($F$192,DATOS!$D$155:$H$159,2,FALSE)</f>
        <v>#N/A</v>
      </c>
      <c r="E194" s="914"/>
      <c r="F194" s="914"/>
    </row>
    <row r="196" spans="1:6" s="39" customFormat="1" ht="9.9499999999999993" customHeight="1" x14ac:dyDescent="0.25">
      <c r="B196" s="907" t="s">
        <v>156</v>
      </c>
      <c r="C196" s="907"/>
      <c r="D196" s="907"/>
      <c r="E196" s="907"/>
    </row>
    <row r="197" spans="1:6" ht="15" customHeight="1" x14ac:dyDescent="0.2">
      <c r="B197" s="35"/>
      <c r="C197" s="35"/>
      <c r="D197" s="35"/>
      <c r="E197" s="35"/>
    </row>
  </sheetData>
  <sheetProtection algorithmName="SHA-512" hashValue="CGEHmApJ3qMkb3eNYmsVWNJnzV1UwuQkXkrcIpuFAIJK/4XdYFHSbp5xDKL+f/DqD1Xi3ywF+/j8lAixJA11yw==" saltValue="p8OUYUM+vkO8LiS/+yLvKw==" spinCount="100000" sheet="1" objects="1" scenarios="1"/>
  <mergeCells count="83">
    <mergeCell ref="A61:B61"/>
    <mergeCell ref="A62:B62"/>
    <mergeCell ref="B161:D161"/>
    <mergeCell ref="A149:C149"/>
    <mergeCell ref="E9:F15"/>
    <mergeCell ref="A53:C53"/>
    <mergeCell ref="A143:C143"/>
    <mergeCell ref="A59:D59"/>
    <mergeCell ref="A65:D65"/>
    <mergeCell ref="A85:D85"/>
    <mergeCell ref="A83:B83"/>
    <mergeCell ref="A106:C106"/>
    <mergeCell ref="A104:D104"/>
    <mergeCell ref="A140:F141"/>
    <mergeCell ref="A69:C69"/>
    <mergeCell ref="A67:B67"/>
    <mergeCell ref="C12:D12"/>
    <mergeCell ref="A99:F102"/>
    <mergeCell ref="A63:B63"/>
    <mergeCell ref="A27:F27"/>
    <mergeCell ref="A48:C48"/>
    <mergeCell ref="D194:F194"/>
    <mergeCell ref="D193:F193"/>
    <mergeCell ref="A193:C193"/>
    <mergeCell ref="A171:C171"/>
    <mergeCell ref="A174:F174"/>
    <mergeCell ref="A173:F173"/>
    <mergeCell ref="A176:F176"/>
    <mergeCell ref="A192:B192"/>
    <mergeCell ref="D191:F191"/>
    <mergeCell ref="A191:C191"/>
    <mergeCell ref="A189:B189"/>
    <mergeCell ref="D192:E192"/>
    <mergeCell ref="B163:D163"/>
    <mergeCell ref="B162:D162"/>
    <mergeCell ref="B196:E196"/>
    <mergeCell ref="A178:C178"/>
    <mergeCell ref="A31:F31"/>
    <mergeCell ref="C44:F45"/>
    <mergeCell ref="A51:B51"/>
    <mergeCell ref="A49:B49"/>
    <mergeCell ref="A167:F169"/>
    <mergeCell ref="A194:C194"/>
    <mergeCell ref="A187:B187"/>
    <mergeCell ref="A175:F175"/>
    <mergeCell ref="A145:F145"/>
    <mergeCell ref="A165:C165"/>
    <mergeCell ref="A177:F177"/>
    <mergeCell ref="A79:F81"/>
    <mergeCell ref="A40:B41"/>
    <mergeCell ref="C40:F41"/>
    <mergeCell ref="A12:B12"/>
    <mergeCell ref="A13:B13"/>
    <mergeCell ref="A18:C18"/>
    <mergeCell ref="A154:F155"/>
    <mergeCell ref="A20:B20"/>
    <mergeCell ref="A21:B21"/>
    <mergeCell ref="A25:B25"/>
    <mergeCell ref="A22:B22"/>
    <mergeCell ref="A23:B23"/>
    <mergeCell ref="A42:B43"/>
    <mergeCell ref="C42:F43"/>
    <mergeCell ref="A44:B45"/>
    <mergeCell ref="A29:C29"/>
    <mergeCell ref="A57:F57"/>
    <mergeCell ref="A33:D33"/>
    <mergeCell ref="A35:F38"/>
    <mergeCell ref="A14:B14"/>
    <mergeCell ref="A16:B16"/>
    <mergeCell ref="D48:F48"/>
    <mergeCell ref="D49:F49"/>
    <mergeCell ref="A5:C5"/>
    <mergeCell ref="A7:B7"/>
    <mergeCell ref="C11:D11"/>
    <mergeCell ref="D16:E16"/>
    <mergeCell ref="C9:D9"/>
    <mergeCell ref="C13:D13"/>
    <mergeCell ref="C7:F7"/>
    <mergeCell ref="C8:F8"/>
    <mergeCell ref="A8:B8"/>
    <mergeCell ref="A9:B9"/>
    <mergeCell ref="A10:B10"/>
    <mergeCell ref="A11:B11"/>
  </mergeCells>
  <pageMargins left="0.70866141732283472" right="0.70866141732283472" top="0.74803149606299213" bottom="0.74803149606299213" header="0.31496062992125984" footer="0.31496062992125984"/>
  <pageSetup scale="99" orientation="portrait" horizontalDpi="4294967293" r:id="rId1"/>
  <headerFooter>
    <oddHeader xml:space="preserve">&amp;C &amp;"-,Negrita"&amp;12  
                &amp;16 &amp;12 &amp;"Arial Narrow,Negrita"&amp;14INFORME DE VERIFICACIONES INTERMEDIAS DE BALANZAS
            &amp;R&amp;"-,Negrita"&amp;12
             </oddHeader>
    <oddFooter>Página &amp;P de &amp;F</oddFooter>
  </headerFooter>
  <rowBreaks count="4" manualBreakCount="4">
    <brk id="46" max="5" man="1"/>
    <brk id="82" min="1" max="5" man="1"/>
    <brk id="119" min="1" max="5" man="1"/>
    <brk id="159" max="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DATOS!$D$155:$D$159</xm:f>
          </x14:formula1>
          <xm:sqref>F192</xm:sqref>
        </x14:dataValidation>
        <x14:dataValidation type="list" allowBlank="1" showInputMessage="1" showErrorMessage="1">
          <x14:formula1>
            <xm:f>DATOS!$D$155:$D$157</xm:f>
          </x14:formula1>
          <xm:sqref>C192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8</vt:i4>
      </vt:variant>
    </vt:vector>
  </HeadingPairs>
  <TitlesOfParts>
    <vt:vector size="11" baseType="lpstr">
      <vt:lpstr>DATOS</vt:lpstr>
      <vt:lpstr>RT03-F34</vt:lpstr>
      <vt:lpstr>RT03-F36</vt:lpstr>
      <vt:lpstr>DATOS!Área_de_impresión</vt:lpstr>
      <vt:lpstr>'RT03-F34'!Área_de_impresión</vt:lpstr>
      <vt:lpstr>DATOS!Print_Area</vt:lpstr>
      <vt:lpstr>'RT03-F34'!Print_Area</vt:lpstr>
      <vt:lpstr>'RT03-F36'!Print_Area</vt:lpstr>
      <vt:lpstr>'RT03-F34'!Print_Titles</vt:lpstr>
      <vt:lpstr>'RT03-F36'!Print_Titles</vt:lpstr>
      <vt:lpstr>'RT03-F34'!Títulos_a_imprimir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Elvis Aguirre Romero</dc:creator>
  <cp:lastModifiedBy>Yenny Astrid Hernández Gómez</cp:lastModifiedBy>
  <cp:lastPrinted>2018-05-23T17:01:31Z</cp:lastPrinted>
  <dcterms:created xsi:type="dcterms:W3CDTF">2016-06-28T20:23:39Z</dcterms:created>
  <dcterms:modified xsi:type="dcterms:W3CDTF">2018-05-23T17:02:01Z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3606222</vt:i4>
  </property>
</Properties>
</file>